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2. 28 ธ.ค. 66\"/>
    </mc:Choice>
  </mc:AlternateContent>
  <xr:revisionPtr revIDLastSave="0" documentId="13_ncr:1_{0F3D4090-4B05-45B9-9C8C-A2B5970EF991}" xr6:coauthVersionLast="37" xr6:coauthVersionMax="37" xr10:uidLastSave="{00000000-0000-0000-0000-000000000000}"/>
  <bookViews>
    <workbookView xWindow="0" yWindow="0" windowWidth="24000" windowHeight="9525" firstSheet="4" activeTab="13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79021"/>
</workbook>
</file>

<file path=xl/calcChain.xml><?xml version="1.0" encoding="utf-8"?>
<calcChain xmlns="http://schemas.openxmlformats.org/spreadsheetml/2006/main">
  <c r="L22" i="15" l="1"/>
  <c r="M22" i="15"/>
  <c r="P22" i="15" s="1"/>
  <c r="N22" i="15"/>
  <c r="L25" i="15"/>
  <c r="O25" i="15" s="1"/>
  <c r="M25" i="15"/>
  <c r="N25" i="15"/>
  <c r="L45" i="15"/>
  <c r="M45" i="15"/>
  <c r="P45" i="15" s="1"/>
  <c r="N45" i="15"/>
  <c r="O45" i="15"/>
  <c r="O48" i="15"/>
  <c r="P48" i="15"/>
  <c r="L49" i="15"/>
  <c r="L47" i="15" s="1"/>
  <c r="M49" i="15"/>
  <c r="M47" i="15" s="1"/>
  <c r="N49" i="15"/>
  <c r="N47" i="15" s="1"/>
  <c r="O51" i="15"/>
  <c r="P51" i="15"/>
  <c r="L52" i="15"/>
  <c r="M52" i="15"/>
  <c r="N52" i="15"/>
  <c r="N50" i="15" s="1"/>
  <c r="L60" i="15"/>
  <c r="O60" i="15" s="1"/>
  <c r="M60" i="15"/>
  <c r="P60" i="15" s="1"/>
  <c r="N60" i="15"/>
  <c r="L62" i="15"/>
  <c r="O63" i="15"/>
  <c r="P63" i="15"/>
  <c r="L64" i="15"/>
  <c r="M64" i="15"/>
  <c r="M62" i="15" s="1"/>
  <c r="N64" i="15"/>
  <c r="O66" i="15"/>
  <c r="P66" i="15"/>
  <c r="L67" i="15"/>
  <c r="O67" i="15" s="1"/>
  <c r="M67" i="15"/>
  <c r="M65" i="15" s="1"/>
  <c r="P65" i="15" s="1"/>
  <c r="N67" i="15"/>
  <c r="N65" i="15" s="1"/>
  <c r="L73" i="15"/>
  <c r="O73" i="15" s="1"/>
  <c r="M73" i="15"/>
  <c r="N73" i="15"/>
  <c r="O76" i="15"/>
  <c r="P76" i="15"/>
  <c r="L77" i="15"/>
  <c r="M77" i="15"/>
  <c r="M75" i="15" s="1"/>
  <c r="P75" i="15" s="1"/>
  <c r="N77" i="15"/>
  <c r="N75" i="15" s="1"/>
  <c r="O79" i="15"/>
  <c r="P79" i="15"/>
  <c r="L80" i="15"/>
  <c r="M80" i="15"/>
  <c r="M78" i="15" s="1"/>
  <c r="P78" i="15" s="1"/>
  <c r="N80" i="15"/>
  <c r="N78" i="15" s="1"/>
  <c r="J82" i="15"/>
  <c r="J70" i="15" s="1"/>
  <c r="J83" i="15"/>
  <c r="J71" i="15" s="1"/>
  <c r="I84" i="15"/>
  <c r="K84" i="15" s="1"/>
  <c r="I85" i="15"/>
  <c r="K85" i="15" s="1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O95" i="15" s="1"/>
  <c r="M95" i="15"/>
  <c r="N95" i="15"/>
  <c r="P95" i="15"/>
  <c r="O98" i="15"/>
  <c r="P98" i="15"/>
  <c r="L99" i="15"/>
  <c r="M99" i="15"/>
  <c r="N99" i="15"/>
  <c r="O101" i="15"/>
  <c r="P101" i="15"/>
  <c r="L102" i="15"/>
  <c r="L100" i="15" s="1"/>
  <c r="O100" i="15" s="1"/>
  <c r="M102" i="15"/>
  <c r="N102" i="15"/>
  <c r="N100" i="15" s="1"/>
  <c r="I108" i="15"/>
  <c r="I109" i="15"/>
  <c r="I93" i="15" s="1"/>
  <c r="K93" i="15" s="1"/>
  <c r="I117" i="15"/>
  <c r="K117" i="15" s="1"/>
  <c r="L126" i="15"/>
  <c r="O126" i="15" s="1"/>
  <c r="M126" i="15"/>
  <c r="N126" i="15"/>
  <c r="O129" i="15"/>
  <c r="P129" i="15"/>
  <c r="L130" i="15"/>
  <c r="L128" i="15" s="1"/>
  <c r="O128" i="15" s="1"/>
  <c r="M130" i="15"/>
  <c r="M128" i="15" s="1"/>
  <c r="P128" i="15" s="1"/>
  <c r="N130" i="15"/>
  <c r="N128" i="15" s="1"/>
  <c r="O132" i="15"/>
  <c r="P132" i="15"/>
  <c r="L133" i="15"/>
  <c r="O133" i="15" s="1"/>
  <c r="M133" i="15"/>
  <c r="M131" i="15" s="1"/>
  <c r="P131" i="15" s="1"/>
  <c r="N133" i="15"/>
  <c r="N131" i="15" s="1"/>
  <c r="J136" i="15"/>
  <c r="J137" i="15"/>
  <c r="J138" i="15"/>
  <c r="L140" i="15"/>
  <c r="M140" i="15"/>
  <c r="P140" i="15" s="1"/>
  <c r="N140" i="15"/>
  <c r="O140" i="15"/>
  <c r="O143" i="15"/>
  <c r="P143" i="15"/>
  <c r="L144" i="15"/>
  <c r="L142" i="15" s="1"/>
  <c r="M144" i="15"/>
  <c r="M142" i="15" s="1"/>
  <c r="N144" i="15"/>
  <c r="N142" i="15" s="1"/>
  <c r="O146" i="15"/>
  <c r="P146" i="15"/>
  <c r="L147" i="15"/>
  <c r="L145" i="15" s="1"/>
  <c r="O145" i="15" s="1"/>
  <c r="M147" i="15"/>
  <c r="M145" i="15" s="1"/>
  <c r="P145" i="15" s="1"/>
  <c r="N147" i="15"/>
  <c r="N145" i="15" s="1"/>
  <c r="I150" i="15"/>
  <c r="K150" i="15" s="1"/>
  <c r="I151" i="15"/>
  <c r="K151" i="15" s="1"/>
  <c r="I152" i="15"/>
  <c r="K152" i="15" s="1"/>
  <c r="I153" i="15"/>
  <c r="I138" i="15" s="1"/>
  <c r="K138" i="15" s="1"/>
  <c r="I154" i="15"/>
  <c r="K154" i="15" s="1"/>
  <c r="J156" i="15"/>
  <c r="L158" i="15"/>
  <c r="M158" i="15"/>
  <c r="N158" i="15"/>
  <c r="O158" i="15"/>
  <c r="O161" i="15"/>
  <c r="P161" i="15"/>
  <c r="L162" i="15"/>
  <c r="M162" i="15"/>
  <c r="M160" i="15" s="1"/>
  <c r="P160" i="15" s="1"/>
  <c r="N162" i="15"/>
  <c r="N160" i="15" s="1"/>
  <c r="O164" i="15"/>
  <c r="P164" i="15"/>
  <c r="L165" i="15"/>
  <c r="L163" i="15" s="1"/>
  <c r="O163" i="15" s="1"/>
  <c r="M165" i="15"/>
  <c r="P165" i="15" s="1"/>
  <c r="N165" i="15"/>
  <c r="N163" i="15" s="1"/>
  <c r="I167" i="15"/>
  <c r="I169" i="15" s="1"/>
  <c r="K169" i="15" s="1"/>
  <c r="J172" i="15"/>
  <c r="L174" i="15"/>
  <c r="O174" i="15" s="1"/>
  <c r="M174" i="15"/>
  <c r="P174" i="15" s="1"/>
  <c r="N174" i="15"/>
  <c r="O177" i="15"/>
  <c r="P177" i="15"/>
  <c r="L178" i="15"/>
  <c r="L176" i="15" s="1"/>
  <c r="M178" i="15"/>
  <c r="M176" i="15" s="1"/>
  <c r="N178" i="15"/>
  <c r="N176" i="15" s="1"/>
  <c r="O180" i="15"/>
  <c r="P180" i="15"/>
  <c r="L181" i="15"/>
  <c r="O181" i="15" s="1"/>
  <c r="M181" i="15"/>
  <c r="N181" i="15"/>
  <c r="N179" i="15" s="1"/>
  <c r="I183" i="15"/>
  <c r="I172" i="15" s="1"/>
  <c r="K172" i="15" s="1"/>
  <c r="K184" i="15"/>
  <c r="L187" i="15"/>
  <c r="M187" i="15"/>
  <c r="N187" i="15"/>
  <c r="O190" i="15"/>
  <c r="P190" i="15"/>
  <c r="L191" i="15"/>
  <c r="M191" i="15"/>
  <c r="M189" i="15" s="1"/>
  <c r="N191" i="15"/>
  <c r="N189" i="15" s="1"/>
  <c r="O193" i="15"/>
  <c r="P193" i="15"/>
  <c r="L194" i="15"/>
  <c r="L192" i="15" s="1"/>
  <c r="O192" i="15" s="1"/>
  <c r="M194" i="15"/>
  <c r="M192" i="15" s="1"/>
  <c r="P192" i="15" s="1"/>
  <c r="N194" i="15"/>
  <c r="N192" i="15" s="1"/>
  <c r="J195" i="15"/>
  <c r="L196" i="15"/>
  <c r="O196" i="15" s="1"/>
  <c r="P196" i="15"/>
  <c r="I198" i="15"/>
  <c r="K198" i="15" s="1"/>
  <c r="J199" i="15"/>
  <c r="J202" i="15"/>
  <c r="N203" i="15"/>
  <c r="P203" i="15"/>
  <c r="L204" i="15"/>
  <c r="L205" i="15"/>
  <c r="L206" i="15"/>
  <c r="L207" i="15"/>
  <c r="I209" i="15"/>
  <c r="K209" i="15" s="1"/>
  <c r="I211" i="15"/>
  <c r="K211" i="15" s="1"/>
  <c r="I212" i="15"/>
  <c r="K212" i="15" s="1"/>
  <c r="J213" i="15"/>
  <c r="N214" i="15"/>
  <c r="P214" i="15"/>
  <c r="L215" i="15"/>
  <c r="L216" i="15"/>
  <c r="L217" i="15"/>
  <c r="I219" i="15"/>
  <c r="K219" i="15" s="1"/>
  <c r="I220" i="15"/>
  <c r="K220" i="15" s="1"/>
  <c r="J221" i="15"/>
  <c r="N222" i="15"/>
  <c r="P222" i="15"/>
  <c r="L223" i="15"/>
  <c r="L224" i="15"/>
  <c r="L225" i="15"/>
  <c r="I228" i="15"/>
  <c r="K228" i="15" s="1"/>
  <c r="I229" i="15"/>
  <c r="K229" i="15" s="1"/>
  <c r="I230" i="15"/>
  <c r="K230" i="15" s="1"/>
  <c r="N233" i="15"/>
  <c r="N234" i="15"/>
  <c r="N235" i="15"/>
  <c r="N236" i="15"/>
  <c r="J238" i="15"/>
  <c r="I240" i="15"/>
  <c r="J240" i="15"/>
  <c r="K240" i="15"/>
  <c r="I241" i="15"/>
  <c r="K241" i="15" s="1"/>
  <c r="J241" i="15"/>
  <c r="J242" i="15"/>
  <c r="J231" i="15" s="1"/>
  <c r="J185" i="15" s="1"/>
  <c r="N243" i="15"/>
  <c r="N232" i="15" s="1"/>
  <c r="P243" i="15"/>
  <c r="L244" i="15"/>
  <c r="L245" i="15"/>
  <c r="L246" i="15"/>
  <c r="L247" i="15"/>
  <c r="I249" i="15"/>
  <c r="K251" i="15"/>
  <c r="K252" i="15"/>
  <c r="J253" i="15"/>
  <c r="N254" i="15"/>
  <c r="P254" i="15"/>
  <c r="L255" i="15"/>
  <c r="L256" i="15"/>
  <c r="L257" i="15"/>
  <c r="L258" i="15"/>
  <c r="I260" i="15"/>
  <c r="K262" i="15"/>
  <c r="K263" i="15"/>
  <c r="I265" i="15"/>
  <c r="K265" i="15" s="1"/>
  <c r="J265" i="15"/>
  <c r="L267" i="15"/>
  <c r="M267" i="15"/>
  <c r="N267" i="15"/>
  <c r="O270" i="15"/>
  <c r="P270" i="15"/>
  <c r="L271" i="15"/>
  <c r="L269" i="15" s="1"/>
  <c r="O269" i="15" s="1"/>
  <c r="M271" i="15"/>
  <c r="M269" i="15" s="1"/>
  <c r="P269" i="15" s="1"/>
  <c r="N271" i="15"/>
  <c r="N269" i="15" s="1"/>
  <c r="O273" i="15"/>
  <c r="P273" i="15"/>
  <c r="L274" i="15"/>
  <c r="L272" i="15" s="1"/>
  <c r="O272" i="15" s="1"/>
  <c r="M274" i="15"/>
  <c r="M272" i="15" s="1"/>
  <c r="P272" i="15" s="1"/>
  <c r="N274" i="15"/>
  <c r="N272" i="15" s="1"/>
  <c r="J281" i="15"/>
  <c r="L283" i="15"/>
  <c r="O283" i="15" s="1"/>
  <c r="M283" i="15"/>
  <c r="P283" i="15" s="1"/>
  <c r="N283" i="15"/>
  <c r="O286" i="15"/>
  <c r="P286" i="15"/>
  <c r="L287" i="15"/>
  <c r="L285" i="15" s="1"/>
  <c r="M287" i="15"/>
  <c r="M285" i="15" s="1"/>
  <c r="N287" i="15"/>
  <c r="N285" i="15" s="1"/>
  <c r="O289" i="15"/>
  <c r="P289" i="15"/>
  <c r="L290" i="15"/>
  <c r="O290" i="15" s="1"/>
  <c r="M290" i="15"/>
  <c r="N290" i="15"/>
  <c r="N288" i="15" s="1"/>
  <c r="I292" i="15"/>
  <c r="I281" i="15" s="1"/>
  <c r="I293" i="15"/>
  <c r="I280" i="15" s="1"/>
  <c r="J293" i="15"/>
  <c r="J280" i="15" s="1"/>
  <c r="I295" i="15"/>
  <c r="K295" i="15" s="1"/>
  <c r="I296" i="15"/>
  <c r="K296" i="15" s="1"/>
  <c r="J302" i="15"/>
  <c r="L304" i="15"/>
  <c r="M304" i="15"/>
  <c r="N304" i="15"/>
  <c r="O307" i="15"/>
  <c r="P307" i="15"/>
  <c r="L308" i="15"/>
  <c r="M308" i="15"/>
  <c r="M306" i="15" s="1"/>
  <c r="N308" i="15"/>
  <c r="N306" i="15" s="1"/>
  <c r="O310" i="15"/>
  <c r="P310" i="15"/>
  <c r="L311" i="15"/>
  <c r="L309" i="15" s="1"/>
  <c r="O309" i="15" s="1"/>
  <c r="M311" i="15"/>
  <c r="M309" i="15" s="1"/>
  <c r="P309" i="15" s="1"/>
  <c r="N311" i="15"/>
  <c r="N309" i="15" s="1"/>
  <c r="I314" i="15"/>
  <c r="I315" i="15"/>
  <c r="K315" i="15" s="1"/>
  <c r="I316" i="15"/>
  <c r="K316" i="15" s="1"/>
  <c r="I317" i="15"/>
  <c r="K317" i="15" s="1"/>
  <c r="J319" i="15"/>
  <c r="L321" i="15"/>
  <c r="O321" i="15" s="1"/>
  <c r="M321" i="15"/>
  <c r="N321" i="15"/>
  <c r="O324" i="15"/>
  <c r="P324" i="15"/>
  <c r="L325" i="15"/>
  <c r="M325" i="15"/>
  <c r="N325" i="15"/>
  <c r="N323" i="15" s="1"/>
  <c r="O327" i="15"/>
  <c r="P327" i="15"/>
  <c r="L328" i="15"/>
  <c r="M328" i="15"/>
  <c r="P328" i="15" s="1"/>
  <c r="N328" i="15"/>
  <c r="N326" i="15" s="1"/>
  <c r="I330" i="15"/>
  <c r="I319" i="15" s="1"/>
  <c r="K319" i="15" s="1"/>
  <c r="L334" i="15"/>
  <c r="M334" i="15"/>
  <c r="N334" i="15"/>
  <c r="O334" i="15"/>
  <c r="P334" i="15"/>
  <c r="O337" i="15"/>
  <c r="P337" i="15"/>
  <c r="L338" i="15"/>
  <c r="M338" i="15"/>
  <c r="M336" i="15" s="1"/>
  <c r="N338" i="15"/>
  <c r="N336" i="15" s="1"/>
  <c r="O340" i="15"/>
  <c r="P340" i="15"/>
  <c r="L341" i="15"/>
  <c r="O341" i="15" s="1"/>
  <c r="M341" i="15"/>
  <c r="M339" i="15" s="1"/>
  <c r="P339" i="15" s="1"/>
  <c r="N341" i="15"/>
  <c r="N339" i="15" s="1"/>
  <c r="I344" i="15"/>
  <c r="J344" i="15"/>
  <c r="I346" i="15"/>
  <c r="J346" i="15"/>
  <c r="J347" i="15"/>
  <c r="J348" i="15"/>
  <c r="J349" i="15"/>
  <c r="D350" i="15"/>
  <c r="J352" i="15"/>
  <c r="J353" i="15"/>
  <c r="D354" i="15"/>
  <c r="L357" i="15"/>
  <c r="O357" i="15" s="1"/>
  <c r="M357" i="15"/>
  <c r="P357" i="15" s="1"/>
  <c r="N357" i="15"/>
  <c r="O360" i="15"/>
  <c r="P360" i="15"/>
  <c r="L361" i="15"/>
  <c r="L359" i="15" s="1"/>
  <c r="M361" i="15"/>
  <c r="M359" i="15" s="1"/>
  <c r="N361" i="15"/>
  <c r="O363" i="15"/>
  <c r="P363" i="15"/>
  <c r="L364" i="15"/>
  <c r="O364" i="15" s="1"/>
  <c r="M364" i="15"/>
  <c r="M362" i="15" s="1"/>
  <c r="P362" i="15" s="1"/>
  <c r="N364" i="15"/>
  <c r="N362" i="15" s="1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I376" i="15"/>
  <c r="K376" i="15" s="1"/>
  <c r="J376" i="15"/>
  <c r="L378" i="15"/>
  <c r="M378" i="15"/>
  <c r="N378" i="15"/>
  <c r="O378" i="15"/>
  <c r="P378" i="15"/>
  <c r="O381" i="15"/>
  <c r="P381" i="15"/>
  <c r="L382" i="15"/>
  <c r="L380" i="15" s="1"/>
  <c r="O380" i="15" s="1"/>
  <c r="M382" i="15"/>
  <c r="P382" i="15" s="1"/>
  <c r="N382" i="15"/>
  <c r="O384" i="15"/>
  <c r="P384" i="15"/>
  <c r="L385" i="15"/>
  <c r="L383" i="15" s="1"/>
  <c r="O383" i="15" s="1"/>
  <c r="M385" i="15"/>
  <c r="M383" i="15" s="1"/>
  <c r="P383" i="15" s="1"/>
  <c r="N385" i="15"/>
  <c r="N383" i="15" s="1"/>
  <c r="K387" i="15"/>
  <c r="K388" i="15"/>
  <c r="A391" i="15"/>
  <c r="L22" i="14"/>
  <c r="M22" i="14"/>
  <c r="N22" i="14"/>
  <c r="P22" i="14"/>
  <c r="L25" i="14"/>
  <c r="O25" i="14" s="1"/>
  <c r="M25" i="14"/>
  <c r="M19" i="14" s="1"/>
  <c r="N25" i="14"/>
  <c r="L45" i="14"/>
  <c r="O45" i="14" s="1"/>
  <c r="M45" i="14"/>
  <c r="P45" i="14" s="1"/>
  <c r="N45" i="14"/>
  <c r="O48" i="14"/>
  <c r="P48" i="14"/>
  <c r="L49" i="14"/>
  <c r="L47" i="14" s="1"/>
  <c r="M49" i="14"/>
  <c r="M47" i="14" s="1"/>
  <c r="N49" i="14"/>
  <c r="O51" i="14"/>
  <c r="P51" i="14"/>
  <c r="L52" i="14"/>
  <c r="L50" i="14" s="1"/>
  <c r="O50" i="14" s="1"/>
  <c r="M52" i="14"/>
  <c r="P52" i="14" s="1"/>
  <c r="N52" i="14"/>
  <c r="N50" i="14" s="1"/>
  <c r="L60" i="14"/>
  <c r="M60" i="14"/>
  <c r="P60" i="14" s="1"/>
  <c r="N60" i="14"/>
  <c r="O63" i="14"/>
  <c r="P63" i="14"/>
  <c r="L64" i="14"/>
  <c r="M64" i="14"/>
  <c r="N64" i="14"/>
  <c r="N62" i="14" s="1"/>
  <c r="O66" i="14"/>
  <c r="P66" i="14"/>
  <c r="L67" i="14"/>
  <c r="L65" i="14" s="1"/>
  <c r="O65" i="14" s="1"/>
  <c r="M67" i="14"/>
  <c r="N67" i="14"/>
  <c r="N65" i="14" s="1"/>
  <c r="L73" i="14"/>
  <c r="M73" i="14"/>
  <c r="P73" i="14" s="1"/>
  <c r="N73" i="14"/>
  <c r="O73" i="14"/>
  <c r="O76" i="14"/>
  <c r="P76" i="14"/>
  <c r="L77" i="14"/>
  <c r="L75" i="14" s="1"/>
  <c r="O75" i="14" s="1"/>
  <c r="M77" i="14"/>
  <c r="M75" i="14" s="1"/>
  <c r="P75" i="14" s="1"/>
  <c r="N77" i="14"/>
  <c r="O79" i="14"/>
  <c r="P79" i="14"/>
  <c r="L80" i="14"/>
  <c r="L78" i="14" s="1"/>
  <c r="O78" i="14" s="1"/>
  <c r="M80" i="14"/>
  <c r="M78" i="14" s="1"/>
  <c r="P78" i="14" s="1"/>
  <c r="N80" i="14"/>
  <c r="N78" i="14" s="1"/>
  <c r="J82" i="14"/>
  <c r="J70" i="14" s="1"/>
  <c r="J83" i="14"/>
  <c r="J71" i="14" s="1"/>
  <c r="I84" i="14"/>
  <c r="K84" i="14" s="1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O95" i="14" s="1"/>
  <c r="M95" i="14"/>
  <c r="N95" i="14"/>
  <c r="P95" i="14"/>
  <c r="O98" i="14"/>
  <c r="P98" i="14"/>
  <c r="L99" i="14"/>
  <c r="L97" i="14" s="1"/>
  <c r="O97" i="14" s="1"/>
  <c r="M99" i="14"/>
  <c r="M97" i="14" s="1"/>
  <c r="P97" i="14" s="1"/>
  <c r="N99" i="14"/>
  <c r="N97" i="14" s="1"/>
  <c r="O101" i="14"/>
  <c r="P101" i="14"/>
  <c r="L102" i="14"/>
  <c r="O102" i="14" s="1"/>
  <c r="M102" i="14"/>
  <c r="M100" i="14" s="1"/>
  <c r="P100" i="14" s="1"/>
  <c r="N102" i="14"/>
  <c r="I108" i="14"/>
  <c r="I109" i="14"/>
  <c r="K109" i="14" s="1"/>
  <c r="I117" i="14"/>
  <c r="K117" i="14" s="1"/>
  <c r="L126" i="14"/>
  <c r="O126" i="14" s="1"/>
  <c r="M126" i="14"/>
  <c r="N126" i="14"/>
  <c r="O129" i="14"/>
  <c r="P129" i="14"/>
  <c r="L130" i="14"/>
  <c r="O130" i="14" s="1"/>
  <c r="M130" i="14"/>
  <c r="M128" i="14" s="1"/>
  <c r="P128" i="14" s="1"/>
  <c r="N130" i="14"/>
  <c r="N128" i="14" s="1"/>
  <c r="O132" i="14"/>
  <c r="P132" i="14"/>
  <c r="L133" i="14"/>
  <c r="O133" i="14" s="1"/>
  <c r="M133" i="14"/>
  <c r="M131" i="14" s="1"/>
  <c r="P131" i="14" s="1"/>
  <c r="N133" i="14"/>
  <c r="N131" i="14" s="1"/>
  <c r="J136" i="14"/>
  <c r="J137" i="14"/>
  <c r="J138" i="14"/>
  <c r="L140" i="14"/>
  <c r="O140" i="14" s="1"/>
  <c r="M140" i="14"/>
  <c r="P140" i="14" s="1"/>
  <c r="N140" i="14"/>
  <c r="O143" i="14"/>
  <c r="P143" i="14"/>
  <c r="L144" i="14"/>
  <c r="O144" i="14" s="1"/>
  <c r="M144" i="14"/>
  <c r="M142" i="14" s="1"/>
  <c r="P142" i="14" s="1"/>
  <c r="N144" i="14"/>
  <c r="N142" i="14" s="1"/>
  <c r="O146" i="14"/>
  <c r="P146" i="14"/>
  <c r="L147" i="14"/>
  <c r="O147" i="14" s="1"/>
  <c r="M147" i="14"/>
  <c r="M145" i="14" s="1"/>
  <c r="P145" i="14" s="1"/>
  <c r="N147" i="14"/>
  <c r="N145" i="14" s="1"/>
  <c r="I150" i="14"/>
  <c r="K150" i="14" s="1"/>
  <c r="I151" i="14"/>
  <c r="K151" i="14" s="1"/>
  <c r="I152" i="14"/>
  <c r="I137" i="14" s="1"/>
  <c r="K137" i="14" s="1"/>
  <c r="I153" i="14"/>
  <c r="K153" i="14" s="1"/>
  <c r="I154" i="14"/>
  <c r="I136" i="14" s="1"/>
  <c r="K136" i="14" s="1"/>
  <c r="J156" i="14"/>
  <c r="L158" i="14"/>
  <c r="O158" i="14" s="1"/>
  <c r="M158" i="14"/>
  <c r="P158" i="14" s="1"/>
  <c r="N158" i="14"/>
  <c r="O161" i="14"/>
  <c r="P161" i="14"/>
  <c r="L162" i="14"/>
  <c r="L160" i="14" s="1"/>
  <c r="O160" i="14" s="1"/>
  <c r="M162" i="14"/>
  <c r="M160" i="14" s="1"/>
  <c r="P160" i="14" s="1"/>
  <c r="N162" i="14"/>
  <c r="O164" i="14"/>
  <c r="P164" i="14"/>
  <c r="L165" i="14"/>
  <c r="L163" i="14" s="1"/>
  <c r="O163" i="14" s="1"/>
  <c r="M165" i="14"/>
  <c r="M163" i="14" s="1"/>
  <c r="P163" i="14" s="1"/>
  <c r="N165" i="14"/>
  <c r="N163" i="14" s="1"/>
  <c r="I167" i="14"/>
  <c r="K167" i="14" s="1"/>
  <c r="I168" i="14"/>
  <c r="K168" i="14" s="1"/>
  <c r="I169" i="14"/>
  <c r="I156" i="14" s="1"/>
  <c r="K156" i="14" s="1"/>
  <c r="J172" i="14"/>
  <c r="L174" i="14"/>
  <c r="O174" i="14" s="1"/>
  <c r="M174" i="14"/>
  <c r="P174" i="14" s="1"/>
  <c r="N174" i="14"/>
  <c r="O177" i="14"/>
  <c r="P177" i="14"/>
  <c r="L178" i="14"/>
  <c r="L176" i="14" s="1"/>
  <c r="M178" i="14"/>
  <c r="M176" i="14" s="1"/>
  <c r="N178" i="14"/>
  <c r="N176" i="14" s="1"/>
  <c r="O180" i="14"/>
  <c r="P180" i="14"/>
  <c r="L181" i="14"/>
  <c r="L179" i="14" s="1"/>
  <c r="O179" i="14" s="1"/>
  <c r="M181" i="14"/>
  <c r="M179" i="14" s="1"/>
  <c r="P179" i="14" s="1"/>
  <c r="N181" i="14"/>
  <c r="N179" i="14" s="1"/>
  <c r="I183" i="14"/>
  <c r="I172" i="14" s="1"/>
  <c r="K172" i="14" s="1"/>
  <c r="K184" i="14"/>
  <c r="L187" i="14"/>
  <c r="M187" i="14"/>
  <c r="P187" i="14" s="1"/>
  <c r="N187" i="14"/>
  <c r="O187" i="14"/>
  <c r="O190" i="14"/>
  <c r="P190" i="14"/>
  <c r="L191" i="14"/>
  <c r="L189" i="14" s="1"/>
  <c r="M191" i="14"/>
  <c r="M189" i="14" s="1"/>
  <c r="N191" i="14"/>
  <c r="N189" i="14" s="1"/>
  <c r="O193" i="14"/>
  <c r="P193" i="14"/>
  <c r="L194" i="14"/>
  <c r="L192" i="14" s="1"/>
  <c r="O192" i="14" s="1"/>
  <c r="M194" i="14"/>
  <c r="M192" i="14" s="1"/>
  <c r="P192" i="14" s="1"/>
  <c r="N194" i="14"/>
  <c r="N192" i="14" s="1"/>
  <c r="J195" i="14"/>
  <c r="L196" i="14"/>
  <c r="O196" i="14" s="1"/>
  <c r="P196" i="14"/>
  <c r="I198" i="14"/>
  <c r="I195" i="14" s="1"/>
  <c r="K195" i="14" s="1"/>
  <c r="J199" i="14"/>
  <c r="J202" i="14"/>
  <c r="N203" i="14"/>
  <c r="P203" i="14"/>
  <c r="L204" i="14"/>
  <c r="L205" i="14"/>
  <c r="L206" i="14"/>
  <c r="L207" i="14"/>
  <c r="I209" i="14"/>
  <c r="I211" i="14"/>
  <c r="K211" i="14" s="1"/>
  <c r="I212" i="14"/>
  <c r="K212" i="14" s="1"/>
  <c r="J213" i="14"/>
  <c r="N214" i="14"/>
  <c r="P214" i="14"/>
  <c r="L215" i="14"/>
  <c r="L216" i="14"/>
  <c r="L217" i="14"/>
  <c r="I219" i="14"/>
  <c r="K219" i="14" s="1"/>
  <c r="I220" i="14"/>
  <c r="K220" i="14" s="1"/>
  <c r="J221" i="14"/>
  <c r="N222" i="14"/>
  <c r="P222" i="14"/>
  <c r="L223" i="14"/>
  <c r="L224" i="14"/>
  <c r="L225" i="14"/>
  <c r="I228" i="14"/>
  <c r="K228" i="14" s="1"/>
  <c r="I229" i="14"/>
  <c r="I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J241" i="14"/>
  <c r="K241" i="14"/>
  <c r="J242" i="14"/>
  <c r="N243" i="14"/>
  <c r="P243" i="14"/>
  <c r="L244" i="14"/>
  <c r="L245" i="14"/>
  <c r="L246" i="14"/>
  <c r="L247" i="14"/>
  <c r="I249" i="14"/>
  <c r="K251" i="14"/>
  <c r="K252" i="14"/>
  <c r="J253" i="14"/>
  <c r="N254" i="14"/>
  <c r="P254" i="14"/>
  <c r="L255" i="14"/>
  <c r="L256" i="14"/>
  <c r="L257" i="14"/>
  <c r="L258" i="14"/>
  <c r="I260" i="14"/>
  <c r="K262" i="14"/>
  <c r="K263" i="14"/>
  <c r="I265" i="14"/>
  <c r="J265" i="14"/>
  <c r="K265" i="14"/>
  <c r="L267" i="14"/>
  <c r="O267" i="14" s="1"/>
  <c r="M267" i="14"/>
  <c r="P267" i="14" s="1"/>
  <c r="N267" i="14"/>
  <c r="O270" i="14"/>
  <c r="P270" i="14"/>
  <c r="L271" i="14"/>
  <c r="L269" i="14" s="1"/>
  <c r="O269" i="14" s="1"/>
  <c r="M271" i="14"/>
  <c r="M269" i="14" s="1"/>
  <c r="P269" i="14" s="1"/>
  <c r="N271" i="14"/>
  <c r="N269" i="14" s="1"/>
  <c r="O273" i="14"/>
  <c r="P273" i="14"/>
  <c r="L274" i="14"/>
  <c r="L272" i="14" s="1"/>
  <c r="O272" i="14" s="1"/>
  <c r="M274" i="14"/>
  <c r="M272" i="14" s="1"/>
  <c r="P272" i="14" s="1"/>
  <c r="N274" i="14"/>
  <c r="N272" i="14" s="1"/>
  <c r="J281" i="14"/>
  <c r="L283" i="14"/>
  <c r="M283" i="14"/>
  <c r="P283" i="14" s="1"/>
  <c r="N283" i="14"/>
  <c r="O286" i="14"/>
  <c r="P286" i="14"/>
  <c r="L287" i="14"/>
  <c r="M287" i="14"/>
  <c r="M285" i="14" s="1"/>
  <c r="P285" i="14" s="1"/>
  <c r="N287" i="14"/>
  <c r="N285" i="14" s="1"/>
  <c r="O289" i="14"/>
  <c r="P289" i="14"/>
  <c r="L290" i="14"/>
  <c r="M290" i="14"/>
  <c r="P290" i="14" s="1"/>
  <c r="N290" i="14"/>
  <c r="N288" i="14" s="1"/>
  <c r="I292" i="14"/>
  <c r="I281" i="14" s="1"/>
  <c r="K281" i="14" s="1"/>
  <c r="I293" i="14"/>
  <c r="J293" i="14"/>
  <c r="J280" i="14" s="1"/>
  <c r="I295" i="14"/>
  <c r="K295" i="14" s="1"/>
  <c r="I296" i="14"/>
  <c r="K296" i="14" s="1"/>
  <c r="J302" i="14"/>
  <c r="L304" i="14"/>
  <c r="M304" i="14"/>
  <c r="P304" i="14" s="1"/>
  <c r="N304" i="14"/>
  <c r="O304" i="14"/>
  <c r="O307" i="14"/>
  <c r="P307" i="14"/>
  <c r="L308" i="14"/>
  <c r="L306" i="14" s="1"/>
  <c r="O306" i="14" s="1"/>
  <c r="M308" i="14"/>
  <c r="M306" i="14" s="1"/>
  <c r="P306" i="14" s="1"/>
  <c r="N308" i="14"/>
  <c r="O310" i="14"/>
  <c r="P310" i="14"/>
  <c r="L311" i="14"/>
  <c r="L309" i="14" s="1"/>
  <c r="O309" i="14" s="1"/>
  <c r="M311" i="14"/>
  <c r="M309" i="14" s="1"/>
  <c r="P309" i="14" s="1"/>
  <c r="N311" i="14"/>
  <c r="N309" i="14" s="1"/>
  <c r="I314" i="14"/>
  <c r="I302" i="14" s="1"/>
  <c r="K302" i="14" s="1"/>
  <c r="I315" i="14"/>
  <c r="K315" i="14" s="1"/>
  <c r="I316" i="14"/>
  <c r="K316" i="14" s="1"/>
  <c r="I317" i="14"/>
  <c r="K317" i="14" s="1"/>
  <c r="J319" i="14"/>
  <c r="L321" i="14"/>
  <c r="O321" i="14" s="1"/>
  <c r="M321" i="14"/>
  <c r="P321" i="14" s="1"/>
  <c r="N321" i="14"/>
  <c r="O324" i="14"/>
  <c r="P324" i="14"/>
  <c r="L325" i="14"/>
  <c r="L323" i="14" s="1"/>
  <c r="O323" i="14" s="1"/>
  <c r="M325" i="14"/>
  <c r="N325" i="14"/>
  <c r="N323" i="14" s="1"/>
  <c r="O327" i="14"/>
  <c r="P327" i="14"/>
  <c r="L328" i="14"/>
  <c r="O328" i="14" s="1"/>
  <c r="M328" i="14"/>
  <c r="N328" i="14"/>
  <c r="I330" i="14"/>
  <c r="K330" i="14" s="1"/>
  <c r="L334" i="14"/>
  <c r="O334" i="14" s="1"/>
  <c r="M334" i="14"/>
  <c r="P334" i="14" s="1"/>
  <c r="N334" i="14"/>
  <c r="O337" i="14"/>
  <c r="P337" i="14"/>
  <c r="L338" i="14"/>
  <c r="M338" i="14"/>
  <c r="N338" i="14"/>
  <c r="N336" i="14" s="1"/>
  <c r="O340" i="14"/>
  <c r="P340" i="14"/>
  <c r="L341" i="14"/>
  <c r="O341" i="14" s="1"/>
  <c r="M341" i="14"/>
  <c r="M339" i="14" s="1"/>
  <c r="P339" i="14" s="1"/>
  <c r="N341" i="14"/>
  <c r="N339" i="14" s="1"/>
  <c r="I344" i="14"/>
  <c r="J344" i="14"/>
  <c r="I346" i="14"/>
  <c r="J346" i="14"/>
  <c r="J347" i="14"/>
  <c r="J348" i="14"/>
  <c r="J349" i="14"/>
  <c r="D350" i="14"/>
  <c r="J352" i="14"/>
  <c r="J353" i="14"/>
  <c r="D354" i="14"/>
  <c r="L357" i="14"/>
  <c r="M357" i="14"/>
  <c r="N357" i="14"/>
  <c r="O360" i="14"/>
  <c r="P360" i="14"/>
  <c r="L361" i="14"/>
  <c r="M361" i="14"/>
  <c r="M359" i="14" s="1"/>
  <c r="N361" i="14"/>
  <c r="N359" i="14" s="1"/>
  <c r="O363" i="14"/>
  <c r="P363" i="14"/>
  <c r="L364" i="14"/>
  <c r="O364" i="14" s="1"/>
  <c r="M364" i="14"/>
  <c r="P364" i="14" s="1"/>
  <c r="N364" i="14"/>
  <c r="N362" i="14" s="1"/>
  <c r="J367" i="14"/>
  <c r="K367" i="14"/>
  <c r="I368" i="14"/>
  <c r="J368" i="14"/>
  <c r="I369" i="14"/>
  <c r="J369" i="14"/>
  <c r="J370" i="14"/>
  <c r="K370" i="14"/>
  <c r="I371" i="14"/>
  <c r="J371" i="14"/>
  <c r="J365" i="14" s="1"/>
  <c r="J372" i="14"/>
  <c r="K372" i="14"/>
  <c r="D373" i="14"/>
  <c r="I376" i="14"/>
  <c r="K376" i="14" s="1"/>
  <c r="J376" i="14"/>
  <c r="L378" i="14"/>
  <c r="M378" i="14"/>
  <c r="P378" i="14" s="1"/>
  <c r="N378" i="14"/>
  <c r="O381" i="14"/>
  <c r="P381" i="14"/>
  <c r="L382" i="14"/>
  <c r="M382" i="14"/>
  <c r="N382" i="14"/>
  <c r="N380" i="14" s="1"/>
  <c r="O384" i="14"/>
  <c r="P384" i="14"/>
  <c r="L385" i="14"/>
  <c r="O385" i="14" s="1"/>
  <c r="M385" i="14"/>
  <c r="P385" i="14" s="1"/>
  <c r="N385" i="14"/>
  <c r="N383" i="14" s="1"/>
  <c r="K387" i="14"/>
  <c r="K388" i="14"/>
  <c r="A391" i="14"/>
  <c r="L22" i="13"/>
  <c r="M22" i="13"/>
  <c r="N22" i="13"/>
  <c r="P22" i="13"/>
  <c r="L25" i="13"/>
  <c r="O25" i="13" s="1"/>
  <c r="M25" i="13"/>
  <c r="P25" i="13" s="1"/>
  <c r="N25" i="13"/>
  <c r="L45" i="13"/>
  <c r="M45" i="13"/>
  <c r="N45" i="13"/>
  <c r="O48" i="13"/>
  <c r="P48" i="13"/>
  <c r="L49" i="13"/>
  <c r="M49" i="13"/>
  <c r="M47" i="13" s="1"/>
  <c r="N49" i="13"/>
  <c r="O51" i="13"/>
  <c r="P51" i="13"/>
  <c r="L52" i="13"/>
  <c r="M52" i="13"/>
  <c r="P52" i="13" s="1"/>
  <c r="N52" i="13"/>
  <c r="L60" i="13"/>
  <c r="M60" i="13"/>
  <c r="N60" i="13"/>
  <c r="O60" i="13"/>
  <c r="P60" i="13"/>
  <c r="O63" i="13"/>
  <c r="P63" i="13"/>
  <c r="L64" i="13"/>
  <c r="M64" i="13"/>
  <c r="N64" i="13"/>
  <c r="N62" i="13" s="1"/>
  <c r="O66" i="13"/>
  <c r="P66" i="13"/>
  <c r="L67" i="13"/>
  <c r="L65" i="13" s="1"/>
  <c r="O65" i="13" s="1"/>
  <c r="M67" i="13"/>
  <c r="M65" i="13" s="1"/>
  <c r="P65" i="13" s="1"/>
  <c r="N67" i="13"/>
  <c r="N65" i="13" s="1"/>
  <c r="L73" i="13"/>
  <c r="M73" i="13"/>
  <c r="N73" i="13"/>
  <c r="O73" i="13"/>
  <c r="O76" i="13"/>
  <c r="P76" i="13"/>
  <c r="L77" i="13"/>
  <c r="M77" i="13"/>
  <c r="N77" i="13"/>
  <c r="N75" i="13" s="1"/>
  <c r="O79" i="13"/>
  <c r="P79" i="13"/>
  <c r="L80" i="13"/>
  <c r="M80" i="13"/>
  <c r="M78" i="13" s="1"/>
  <c r="P78" i="13" s="1"/>
  <c r="N80" i="13"/>
  <c r="N78" i="13" s="1"/>
  <c r="J82" i="13"/>
  <c r="J70" i="13" s="1"/>
  <c r="J83" i="13"/>
  <c r="J71" i="13" s="1"/>
  <c r="I84" i="13"/>
  <c r="K84" i="13" s="1"/>
  <c r="I85" i="13"/>
  <c r="K85" i="13" s="1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O95" i="13" s="1"/>
  <c r="M95" i="13"/>
  <c r="N95" i="13"/>
  <c r="O98" i="13"/>
  <c r="P98" i="13"/>
  <c r="L99" i="13"/>
  <c r="O99" i="13" s="1"/>
  <c r="M99" i="13"/>
  <c r="P99" i="13" s="1"/>
  <c r="N99" i="13"/>
  <c r="N97" i="13" s="1"/>
  <c r="O101" i="13"/>
  <c r="P101" i="13"/>
  <c r="L102" i="13"/>
  <c r="L100" i="13" s="1"/>
  <c r="O100" i="13" s="1"/>
  <c r="M102" i="13"/>
  <c r="P102" i="13" s="1"/>
  <c r="N102" i="13"/>
  <c r="N100" i="13" s="1"/>
  <c r="I108" i="13"/>
  <c r="I92" i="13" s="1"/>
  <c r="K92" i="13" s="1"/>
  <c r="I109" i="13"/>
  <c r="I117" i="13"/>
  <c r="K117" i="13" s="1"/>
  <c r="L126" i="13"/>
  <c r="M126" i="13"/>
  <c r="N126" i="13"/>
  <c r="O126" i="13"/>
  <c r="P126" i="13"/>
  <c r="O129" i="13"/>
  <c r="P129" i="13"/>
  <c r="L130" i="13"/>
  <c r="L128" i="13" s="1"/>
  <c r="O128" i="13" s="1"/>
  <c r="M130" i="13"/>
  <c r="N130" i="13"/>
  <c r="N128" i="13" s="1"/>
  <c r="O132" i="13"/>
  <c r="P132" i="13"/>
  <c r="L133" i="13"/>
  <c r="L131" i="13" s="1"/>
  <c r="O131" i="13" s="1"/>
  <c r="M133" i="13"/>
  <c r="P133" i="13" s="1"/>
  <c r="N133" i="13"/>
  <c r="J136" i="13"/>
  <c r="J137" i="13"/>
  <c r="J138" i="13"/>
  <c r="L140" i="13"/>
  <c r="O140" i="13" s="1"/>
  <c r="M140" i="13"/>
  <c r="P140" i="13" s="1"/>
  <c r="N140" i="13"/>
  <c r="O143" i="13"/>
  <c r="P143" i="13"/>
  <c r="L144" i="13"/>
  <c r="L142" i="13" s="1"/>
  <c r="M144" i="13"/>
  <c r="M142" i="13" s="1"/>
  <c r="N144" i="13"/>
  <c r="N142" i="13" s="1"/>
  <c r="O146" i="13"/>
  <c r="P146" i="13"/>
  <c r="L147" i="13"/>
  <c r="O147" i="13" s="1"/>
  <c r="M147" i="13"/>
  <c r="M145" i="13" s="1"/>
  <c r="P145" i="13" s="1"/>
  <c r="N147" i="13"/>
  <c r="N145" i="13" s="1"/>
  <c r="I150" i="13"/>
  <c r="K150" i="13" s="1"/>
  <c r="I151" i="13"/>
  <c r="K151" i="13" s="1"/>
  <c r="I152" i="13"/>
  <c r="K152" i="13" s="1"/>
  <c r="I153" i="13"/>
  <c r="K153" i="13" s="1"/>
  <c r="I154" i="13"/>
  <c r="I136" i="13" s="1"/>
  <c r="K136" i="13" s="1"/>
  <c r="J156" i="13"/>
  <c r="L158" i="13"/>
  <c r="O158" i="13" s="1"/>
  <c r="M158" i="13"/>
  <c r="P158" i="13" s="1"/>
  <c r="N158" i="13"/>
  <c r="O161" i="13"/>
  <c r="P161" i="13"/>
  <c r="L162" i="13"/>
  <c r="M162" i="13"/>
  <c r="M160" i="13" s="1"/>
  <c r="P160" i="13" s="1"/>
  <c r="N162" i="13"/>
  <c r="N160" i="13" s="1"/>
  <c r="O164" i="13"/>
  <c r="P164" i="13"/>
  <c r="L165" i="13"/>
  <c r="O165" i="13" s="1"/>
  <c r="M165" i="13"/>
  <c r="M163" i="13" s="1"/>
  <c r="P163" i="13" s="1"/>
  <c r="N165" i="13"/>
  <c r="N163" i="13" s="1"/>
  <c r="I167" i="13"/>
  <c r="K167" i="13" s="1"/>
  <c r="I168" i="13"/>
  <c r="K168" i="13" s="1"/>
  <c r="I169" i="13"/>
  <c r="I156" i="13" s="1"/>
  <c r="K156" i="13" s="1"/>
  <c r="J172" i="13"/>
  <c r="L174" i="13"/>
  <c r="M174" i="13"/>
  <c r="P174" i="13" s="1"/>
  <c r="N174" i="13"/>
  <c r="O174" i="13"/>
  <c r="O177" i="13"/>
  <c r="P177" i="13"/>
  <c r="L178" i="13"/>
  <c r="L176" i="13" s="1"/>
  <c r="M178" i="13"/>
  <c r="M176" i="13" s="1"/>
  <c r="N178" i="13"/>
  <c r="N176" i="13" s="1"/>
  <c r="O180" i="13"/>
  <c r="P180" i="13"/>
  <c r="L181" i="13"/>
  <c r="O181" i="13" s="1"/>
  <c r="M181" i="13"/>
  <c r="M179" i="13" s="1"/>
  <c r="P179" i="13" s="1"/>
  <c r="N181" i="13"/>
  <c r="N179" i="13" s="1"/>
  <c r="I183" i="13"/>
  <c r="I172" i="13" s="1"/>
  <c r="K172" i="13" s="1"/>
  <c r="K184" i="13"/>
  <c r="L187" i="13"/>
  <c r="M187" i="13"/>
  <c r="N187" i="13"/>
  <c r="O190" i="13"/>
  <c r="P190" i="13"/>
  <c r="L191" i="13"/>
  <c r="L189" i="13" s="1"/>
  <c r="M191" i="13"/>
  <c r="M189" i="13" s="1"/>
  <c r="N191" i="13"/>
  <c r="N189" i="13" s="1"/>
  <c r="O193" i="13"/>
  <c r="P193" i="13"/>
  <c r="L194" i="13"/>
  <c r="L192" i="13" s="1"/>
  <c r="O192" i="13" s="1"/>
  <c r="M194" i="13"/>
  <c r="M192" i="13" s="1"/>
  <c r="P192" i="13" s="1"/>
  <c r="N194" i="13"/>
  <c r="N192" i="13" s="1"/>
  <c r="J195" i="13"/>
  <c r="L196" i="13"/>
  <c r="O196" i="13" s="1"/>
  <c r="P196" i="13"/>
  <c r="I198" i="13"/>
  <c r="K198" i="13" s="1"/>
  <c r="J199" i="13"/>
  <c r="J202" i="13"/>
  <c r="N203" i="13"/>
  <c r="P203" i="13"/>
  <c r="L204" i="13"/>
  <c r="L205" i="13"/>
  <c r="L206" i="13"/>
  <c r="L207" i="13"/>
  <c r="I209" i="13"/>
  <c r="K209" i="13" s="1"/>
  <c r="I211" i="13"/>
  <c r="K211" i="13" s="1"/>
  <c r="I212" i="13"/>
  <c r="K212" i="13" s="1"/>
  <c r="J213" i="13"/>
  <c r="N214" i="13"/>
  <c r="P214" i="13"/>
  <c r="L215" i="13"/>
  <c r="L216" i="13"/>
  <c r="L217" i="13"/>
  <c r="I219" i="13"/>
  <c r="K219" i="13" s="1"/>
  <c r="I220" i="13"/>
  <c r="K220" i="13" s="1"/>
  <c r="J221" i="13"/>
  <c r="N222" i="13"/>
  <c r="P222" i="13"/>
  <c r="L223" i="13"/>
  <c r="L224" i="13"/>
  <c r="L225" i="13"/>
  <c r="I228" i="13"/>
  <c r="K228" i="13" s="1"/>
  <c r="I229" i="13"/>
  <c r="K229" i="13" s="1"/>
  <c r="I230" i="13"/>
  <c r="K230" i="13" s="1"/>
  <c r="N233" i="13"/>
  <c r="N234" i="13"/>
  <c r="N235" i="13"/>
  <c r="N236" i="13"/>
  <c r="J238" i="13"/>
  <c r="I240" i="13"/>
  <c r="K240" i="13" s="1"/>
  <c r="J240" i="13"/>
  <c r="I241" i="13"/>
  <c r="K241" i="13" s="1"/>
  <c r="J241" i="13"/>
  <c r="J242" i="13"/>
  <c r="N243" i="13"/>
  <c r="N232" i="13" s="1"/>
  <c r="P243" i="13"/>
  <c r="L244" i="13"/>
  <c r="L245" i="13"/>
  <c r="L246" i="13"/>
  <c r="L247" i="13"/>
  <c r="I249" i="13"/>
  <c r="K251" i="13"/>
  <c r="K252" i="13"/>
  <c r="J253" i="13"/>
  <c r="N254" i="13"/>
  <c r="P254" i="13"/>
  <c r="L255" i="13"/>
  <c r="L256" i="13"/>
  <c r="L257" i="13"/>
  <c r="L258" i="13"/>
  <c r="I260" i="13"/>
  <c r="K262" i="13"/>
  <c r="K263" i="13"/>
  <c r="I265" i="13"/>
  <c r="K265" i="13" s="1"/>
  <c r="J265" i="13"/>
  <c r="L267" i="13"/>
  <c r="M267" i="13"/>
  <c r="P267" i="13" s="1"/>
  <c r="N267" i="13"/>
  <c r="O270" i="13"/>
  <c r="P270" i="13"/>
  <c r="L271" i="13"/>
  <c r="L269" i="13" s="1"/>
  <c r="O269" i="13" s="1"/>
  <c r="M271" i="13"/>
  <c r="P271" i="13" s="1"/>
  <c r="N271" i="13"/>
  <c r="N269" i="13" s="1"/>
  <c r="O273" i="13"/>
  <c r="P273" i="13"/>
  <c r="L274" i="13"/>
  <c r="O274" i="13" s="1"/>
  <c r="M274" i="13"/>
  <c r="M272" i="13" s="1"/>
  <c r="P272" i="13" s="1"/>
  <c r="N274" i="13"/>
  <c r="J281" i="13"/>
  <c r="L283" i="13"/>
  <c r="O283" i="13" s="1"/>
  <c r="M283" i="13"/>
  <c r="N283" i="13"/>
  <c r="P283" i="13"/>
  <c r="O286" i="13"/>
  <c r="P286" i="13"/>
  <c r="L287" i="13"/>
  <c r="O287" i="13" s="1"/>
  <c r="M287" i="13"/>
  <c r="M285" i="13" s="1"/>
  <c r="P285" i="13" s="1"/>
  <c r="N287" i="13"/>
  <c r="O289" i="13"/>
  <c r="P289" i="13"/>
  <c r="L290" i="13"/>
  <c r="O290" i="13" s="1"/>
  <c r="M290" i="13"/>
  <c r="P290" i="13" s="1"/>
  <c r="N290" i="13"/>
  <c r="N288" i="13" s="1"/>
  <c r="I292" i="13"/>
  <c r="I281" i="13" s="1"/>
  <c r="K281" i="13" s="1"/>
  <c r="I293" i="13"/>
  <c r="K293" i="13" s="1"/>
  <c r="J293" i="13"/>
  <c r="J280" i="13" s="1"/>
  <c r="I295" i="13"/>
  <c r="K295" i="13" s="1"/>
  <c r="I296" i="13"/>
  <c r="K296" i="13" s="1"/>
  <c r="J302" i="13"/>
  <c r="L304" i="13"/>
  <c r="O304" i="13" s="1"/>
  <c r="M304" i="13"/>
  <c r="P304" i="13" s="1"/>
  <c r="N304" i="13"/>
  <c r="O307" i="13"/>
  <c r="P307" i="13"/>
  <c r="L308" i="13"/>
  <c r="L306" i="13" s="1"/>
  <c r="O306" i="13" s="1"/>
  <c r="M308" i="13"/>
  <c r="P308" i="13" s="1"/>
  <c r="N308" i="13"/>
  <c r="N306" i="13" s="1"/>
  <c r="O310" i="13"/>
  <c r="P310" i="13"/>
  <c r="L311" i="13"/>
  <c r="O311" i="13" s="1"/>
  <c r="M311" i="13"/>
  <c r="M309" i="13" s="1"/>
  <c r="P309" i="13" s="1"/>
  <c r="N311" i="13"/>
  <c r="N309" i="13" s="1"/>
  <c r="I314" i="13"/>
  <c r="I315" i="13"/>
  <c r="K315" i="13" s="1"/>
  <c r="I316" i="13"/>
  <c r="K316" i="13" s="1"/>
  <c r="I317" i="13"/>
  <c r="K317" i="13" s="1"/>
  <c r="J319" i="13"/>
  <c r="L321" i="13"/>
  <c r="O321" i="13" s="1"/>
  <c r="M321" i="13"/>
  <c r="N321" i="13"/>
  <c r="O324" i="13"/>
  <c r="P324" i="13"/>
  <c r="L325" i="13"/>
  <c r="L323" i="13" s="1"/>
  <c r="M325" i="13"/>
  <c r="M323" i="13" s="1"/>
  <c r="N325" i="13"/>
  <c r="O327" i="13"/>
  <c r="P327" i="13"/>
  <c r="L328" i="13"/>
  <c r="L326" i="13" s="1"/>
  <c r="O326" i="13" s="1"/>
  <c r="M328" i="13"/>
  <c r="M326" i="13" s="1"/>
  <c r="P326" i="13" s="1"/>
  <c r="N328" i="13"/>
  <c r="N326" i="13" s="1"/>
  <c r="I330" i="13"/>
  <c r="K330" i="13" s="1"/>
  <c r="L334" i="13"/>
  <c r="O334" i="13" s="1"/>
  <c r="M334" i="13"/>
  <c r="N334" i="13"/>
  <c r="O337" i="13"/>
  <c r="P337" i="13"/>
  <c r="L338" i="13"/>
  <c r="M338" i="13"/>
  <c r="N338" i="13"/>
  <c r="N336" i="13" s="1"/>
  <c r="O340" i="13"/>
  <c r="P340" i="13"/>
  <c r="L341" i="13"/>
  <c r="L339" i="13" s="1"/>
  <c r="O339" i="13" s="1"/>
  <c r="M341" i="13"/>
  <c r="P341" i="13" s="1"/>
  <c r="N341" i="13"/>
  <c r="N339" i="13" s="1"/>
  <c r="I344" i="13"/>
  <c r="I332" i="13" s="1"/>
  <c r="J344" i="13"/>
  <c r="I346" i="13"/>
  <c r="J346" i="13"/>
  <c r="J347" i="13"/>
  <c r="J348" i="13"/>
  <c r="J349" i="13"/>
  <c r="D350" i="13"/>
  <c r="J352" i="13"/>
  <c r="J353" i="13"/>
  <c r="D354" i="13"/>
  <c r="L357" i="13"/>
  <c r="O357" i="13" s="1"/>
  <c r="M357" i="13"/>
  <c r="N357" i="13"/>
  <c r="P357" i="13"/>
  <c r="O360" i="13"/>
  <c r="P360" i="13"/>
  <c r="L361" i="13"/>
  <c r="M361" i="13"/>
  <c r="N361" i="13"/>
  <c r="N359" i="13" s="1"/>
  <c r="O363" i="13"/>
  <c r="P363" i="13"/>
  <c r="L364" i="13"/>
  <c r="L362" i="13" s="1"/>
  <c r="O362" i="13" s="1"/>
  <c r="M364" i="13"/>
  <c r="P364" i="13" s="1"/>
  <c r="N364" i="13"/>
  <c r="N362" i="13" s="1"/>
  <c r="J367" i="13"/>
  <c r="K367" i="13"/>
  <c r="I368" i="13"/>
  <c r="J368" i="13"/>
  <c r="I369" i="13"/>
  <c r="J369" i="13"/>
  <c r="J370" i="13"/>
  <c r="K370" i="13"/>
  <c r="I371" i="13"/>
  <c r="I365" i="13" s="1"/>
  <c r="J371" i="13"/>
  <c r="J365" i="13" s="1"/>
  <c r="J372" i="13"/>
  <c r="K372" i="13"/>
  <c r="D373" i="13"/>
  <c r="I376" i="13"/>
  <c r="K376" i="13" s="1"/>
  <c r="J376" i="13"/>
  <c r="L378" i="13"/>
  <c r="O378" i="13" s="1"/>
  <c r="M378" i="13"/>
  <c r="N378" i="13"/>
  <c r="O381" i="13"/>
  <c r="P381" i="13"/>
  <c r="L382" i="13"/>
  <c r="O382" i="13" s="1"/>
  <c r="M382" i="13"/>
  <c r="M380" i="13" s="1"/>
  <c r="P380" i="13" s="1"/>
  <c r="N382" i="13"/>
  <c r="N380" i="13" s="1"/>
  <c r="O384" i="13"/>
  <c r="P384" i="13"/>
  <c r="L385" i="13"/>
  <c r="O385" i="13" s="1"/>
  <c r="M385" i="13"/>
  <c r="P385" i="13" s="1"/>
  <c r="N385" i="13"/>
  <c r="N383" i="13" s="1"/>
  <c r="K387" i="13"/>
  <c r="K388" i="13"/>
  <c r="A391" i="13"/>
  <c r="L19" i="12"/>
  <c r="L22" i="12"/>
  <c r="M22" i="12"/>
  <c r="P22" i="12" s="1"/>
  <c r="N22" i="12"/>
  <c r="O22" i="12"/>
  <c r="L25" i="12"/>
  <c r="M25" i="12"/>
  <c r="P25" i="12" s="1"/>
  <c r="N25" i="12"/>
  <c r="O25" i="12"/>
  <c r="L45" i="12"/>
  <c r="M45" i="12"/>
  <c r="N45" i="12"/>
  <c r="O45" i="12"/>
  <c r="P45" i="12"/>
  <c r="O48" i="12"/>
  <c r="P48" i="12"/>
  <c r="L49" i="12"/>
  <c r="M49" i="12"/>
  <c r="N49" i="12"/>
  <c r="N47" i="12" s="1"/>
  <c r="O51" i="12"/>
  <c r="P51" i="12"/>
  <c r="L52" i="12"/>
  <c r="O52" i="12" s="1"/>
  <c r="M52" i="12"/>
  <c r="M50" i="12" s="1"/>
  <c r="P50" i="12" s="1"/>
  <c r="N52" i="12"/>
  <c r="L60" i="12"/>
  <c r="O60" i="12" s="1"/>
  <c r="M60" i="12"/>
  <c r="N60" i="12"/>
  <c r="O63" i="12"/>
  <c r="P63" i="12"/>
  <c r="L64" i="12"/>
  <c r="M64" i="12"/>
  <c r="M62" i="12" s="1"/>
  <c r="N64" i="12"/>
  <c r="N62" i="12" s="1"/>
  <c r="O66" i="12"/>
  <c r="P66" i="12"/>
  <c r="L67" i="12"/>
  <c r="L65" i="12" s="1"/>
  <c r="O65" i="12" s="1"/>
  <c r="M67" i="12"/>
  <c r="M65" i="12" s="1"/>
  <c r="P65" i="12" s="1"/>
  <c r="N67" i="12"/>
  <c r="N65" i="12" s="1"/>
  <c r="L73" i="12"/>
  <c r="M73" i="12"/>
  <c r="P73" i="12" s="1"/>
  <c r="N73" i="12"/>
  <c r="O73" i="12"/>
  <c r="O76" i="12"/>
  <c r="P76" i="12"/>
  <c r="L77" i="12"/>
  <c r="O77" i="12" s="1"/>
  <c r="M77" i="12"/>
  <c r="M75" i="12" s="1"/>
  <c r="P75" i="12" s="1"/>
  <c r="N77" i="12"/>
  <c r="N75" i="12" s="1"/>
  <c r="O79" i="12"/>
  <c r="P79" i="12"/>
  <c r="L80" i="12"/>
  <c r="O80" i="12" s="1"/>
  <c r="M80" i="12"/>
  <c r="M78" i="12" s="1"/>
  <c r="P78" i="12" s="1"/>
  <c r="N80" i="12"/>
  <c r="N78" i="12" s="1"/>
  <c r="J82" i="12"/>
  <c r="J70" i="12" s="1"/>
  <c r="J83" i="12"/>
  <c r="J71" i="12" s="1"/>
  <c r="I84" i="12"/>
  <c r="K84" i="12" s="1"/>
  <c r="I85" i="12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M95" i="12"/>
  <c r="N95" i="12"/>
  <c r="O98" i="12"/>
  <c r="P98" i="12"/>
  <c r="L99" i="12"/>
  <c r="L97" i="12" s="1"/>
  <c r="O97" i="12" s="1"/>
  <c r="M99" i="12"/>
  <c r="P99" i="12" s="1"/>
  <c r="N99" i="12"/>
  <c r="N97" i="12" s="1"/>
  <c r="O101" i="12"/>
  <c r="P101" i="12"/>
  <c r="L102" i="12"/>
  <c r="L100" i="12" s="1"/>
  <c r="O100" i="12" s="1"/>
  <c r="M102" i="12"/>
  <c r="P102" i="12" s="1"/>
  <c r="N102" i="12"/>
  <c r="N100" i="12" s="1"/>
  <c r="I108" i="12"/>
  <c r="I109" i="12"/>
  <c r="K109" i="12" s="1"/>
  <c r="I117" i="12"/>
  <c r="K117" i="12" s="1"/>
  <c r="L126" i="12"/>
  <c r="M126" i="12"/>
  <c r="P126" i="12" s="1"/>
  <c r="N126" i="12"/>
  <c r="O126" i="12"/>
  <c r="O129" i="12"/>
  <c r="P129" i="12"/>
  <c r="L130" i="12"/>
  <c r="L128" i="12" s="1"/>
  <c r="O128" i="12" s="1"/>
  <c r="M130" i="12"/>
  <c r="P130" i="12" s="1"/>
  <c r="N130" i="12"/>
  <c r="N128" i="12" s="1"/>
  <c r="O132" i="12"/>
  <c r="P132" i="12"/>
  <c r="L133" i="12"/>
  <c r="O133" i="12" s="1"/>
  <c r="M133" i="12"/>
  <c r="M131" i="12" s="1"/>
  <c r="P131" i="12" s="1"/>
  <c r="N133" i="12"/>
  <c r="N131" i="12" s="1"/>
  <c r="J136" i="12"/>
  <c r="J137" i="12"/>
  <c r="J138" i="12"/>
  <c r="L140" i="12"/>
  <c r="O140" i="12" s="1"/>
  <c r="M140" i="12"/>
  <c r="N140" i="12"/>
  <c r="O143" i="12"/>
  <c r="P143" i="12"/>
  <c r="L144" i="12"/>
  <c r="L142" i="12" s="1"/>
  <c r="M144" i="12"/>
  <c r="M142" i="12" s="1"/>
  <c r="N144" i="12"/>
  <c r="N142" i="12" s="1"/>
  <c r="O146" i="12"/>
  <c r="P146" i="12"/>
  <c r="L147" i="12"/>
  <c r="L145" i="12" s="1"/>
  <c r="O145" i="12" s="1"/>
  <c r="M147" i="12"/>
  <c r="M145" i="12" s="1"/>
  <c r="P145" i="12" s="1"/>
  <c r="N147" i="12"/>
  <c r="N145" i="12" s="1"/>
  <c r="I150" i="12"/>
  <c r="K150" i="12" s="1"/>
  <c r="I151" i="12"/>
  <c r="K151" i="12" s="1"/>
  <c r="I152" i="12"/>
  <c r="I137" i="12" s="1"/>
  <c r="K137" i="12" s="1"/>
  <c r="I153" i="12"/>
  <c r="I154" i="12"/>
  <c r="K154" i="12" s="1"/>
  <c r="J156" i="12"/>
  <c r="L158" i="12"/>
  <c r="M158" i="12"/>
  <c r="N158" i="12"/>
  <c r="O161" i="12"/>
  <c r="P161" i="12"/>
  <c r="L162" i="12"/>
  <c r="O162" i="12" s="1"/>
  <c r="M162" i="12"/>
  <c r="M160" i="12" s="1"/>
  <c r="P160" i="12" s="1"/>
  <c r="N162" i="12"/>
  <c r="N160" i="12" s="1"/>
  <c r="O164" i="12"/>
  <c r="P164" i="12"/>
  <c r="L165" i="12"/>
  <c r="L163" i="12" s="1"/>
  <c r="O163" i="12" s="1"/>
  <c r="M165" i="12"/>
  <c r="M163" i="12" s="1"/>
  <c r="P163" i="12" s="1"/>
  <c r="N165" i="12"/>
  <c r="N163" i="12" s="1"/>
  <c r="I167" i="12"/>
  <c r="K167" i="12" s="1"/>
  <c r="I168" i="12"/>
  <c r="K168" i="12" s="1"/>
  <c r="I169" i="12"/>
  <c r="K169" i="12" s="1"/>
  <c r="J172" i="12"/>
  <c r="L174" i="12"/>
  <c r="M174" i="12"/>
  <c r="N174" i="12"/>
  <c r="O177" i="12"/>
  <c r="P177" i="12"/>
  <c r="L178" i="12"/>
  <c r="M178" i="12"/>
  <c r="M176" i="12" s="1"/>
  <c r="N178" i="12"/>
  <c r="N176" i="12" s="1"/>
  <c r="O180" i="12"/>
  <c r="P180" i="12"/>
  <c r="L181" i="12"/>
  <c r="L179" i="12" s="1"/>
  <c r="O179" i="12" s="1"/>
  <c r="M181" i="12"/>
  <c r="M179" i="12" s="1"/>
  <c r="P179" i="12" s="1"/>
  <c r="N181" i="12"/>
  <c r="N179" i="12" s="1"/>
  <c r="I183" i="12"/>
  <c r="I172" i="12" s="1"/>
  <c r="K172" i="12" s="1"/>
  <c r="K184" i="12"/>
  <c r="L187" i="12"/>
  <c r="M187" i="12"/>
  <c r="P187" i="12" s="1"/>
  <c r="N187" i="12"/>
  <c r="O190" i="12"/>
  <c r="P190" i="12"/>
  <c r="L191" i="12"/>
  <c r="L189" i="12" s="1"/>
  <c r="M191" i="12"/>
  <c r="N191" i="12"/>
  <c r="O193" i="12"/>
  <c r="P193" i="12"/>
  <c r="L194" i="12"/>
  <c r="L192" i="12" s="1"/>
  <c r="O192" i="12" s="1"/>
  <c r="M194" i="12"/>
  <c r="M192" i="12" s="1"/>
  <c r="P192" i="12" s="1"/>
  <c r="N194" i="12"/>
  <c r="N192" i="12" s="1"/>
  <c r="J195" i="12"/>
  <c r="L196" i="12"/>
  <c r="O196" i="12" s="1"/>
  <c r="P196" i="12"/>
  <c r="I198" i="12"/>
  <c r="K198" i="12" s="1"/>
  <c r="J199" i="12"/>
  <c r="J202" i="12"/>
  <c r="N203" i="12"/>
  <c r="P203" i="12"/>
  <c r="L204" i="12"/>
  <c r="L205" i="12"/>
  <c r="L206" i="12"/>
  <c r="L207" i="12"/>
  <c r="I209" i="12"/>
  <c r="K209" i="12" s="1"/>
  <c r="I211" i="12"/>
  <c r="K211" i="12" s="1"/>
  <c r="I212" i="12"/>
  <c r="K212" i="12" s="1"/>
  <c r="J213" i="12"/>
  <c r="N214" i="12"/>
  <c r="P214" i="12"/>
  <c r="L215" i="12"/>
  <c r="L216" i="12"/>
  <c r="L217" i="12"/>
  <c r="I219" i="12"/>
  <c r="K219" i="12" s="1"/>
  <c r="I220" i="12"/>
  <c r="J221" i="12"/>
  <c r="N222" i="12"/>
  <c r="P222" i="12"/>
  <c r="L223" i="12"/>
  <c r="L224" i="12"/>
  <c r="L225" i="12"/>
  <c r="I228" i="12"/>
  <c r="K228" i="12" s="1"/>
  <c r="I229" i="12"/>
  <c r="K229" i="12" s="1"/>
  <c r="I230" i="12"/>
  <c r="K230" i="12" s="1"/>
  <c r="N233" i="12"/>
  <c r="N234" i="12"/>
  <c r="N235" i="12"/>
  <c r="N236" i="12"/>
  <c r="J238" i="12"/>
  <c r="I240" i="12"/>
  <c r="K240" i="12" s="1"/>
  <c r="J240" i="12"/>
  <c r="I241" i="12"/>
  <c r="J241" i="12"/>
  <c r="K241" i="12"/>
  <c r="J242" i="12"/>
  <c r="J231" i="12" s="1"/>
  <c r="J185" i="12" s="1"/>
  <c r="N243" i="12"/>
  <c r="P243" i="12"/>
  <c r="L244" i="12"/>
  <c r="L245" i="12"/>
  <c r="L246" i="12"/>
  <c r="L247" i="12"/>
  <c r="I249" i="12"/>
  <c r="K249" i="12" s="1"/>
  <c r="K251" i="12"/>
  <c r="K252" i="12"/>
  <c r="J253" i="12"/>
  <c r="N254" i="12"/>
  <c r="P254" i="12"/>
  <c r="L255" i="12"/>
  <c r="L256" i="12"/>
  <c r="L257" i="12"/>
  <c r="L258" i="12"/>
  <c r="I260" i="12"/>
  <c r="I253" i="12" s="1"/>
  <c r="K253" i="12" s="1"/>
  <c r="K262" i="12"/>
  <c r="K263" i="12"/>
  <c r="I265" i="12"/>
  <c r="K265" i="12" s="1"/>
  <c r="J265" i="12"/>
  <c r="L267" i="12"/>
  <c r="M267" i="12"/>
  <c r="N267" i="12"/>
  <c r="O267" i="12"/>
  <c r="P267" i="12"/>
  <c r="O270" i="12"/>
  <c r="P270" i="12"/>
  <c r="L271" i="12"/>
  <c r="M271" i="12"/>
  <c r="N271" i="12"/>
  <c r="O273" i="12"/>
  <c r="P273" i="12"/>
  <c r="L274" i="12"/>
  <c r="L272" i="12" s="1"/>
  <c r="O272" i="12" s="1"/>
  <c r="M274" i="12"/>
  <c r="M272" i="12" s="1"/>
  <c r="P272" i="12" s="1"/>
  <c r="N274" i="12"/>
  <c r="N272" i="12" s="1"/>
  <c r="J281" i="12"/>
  <c r="L283" i="12"/>
  <c r="M283" i="12"/>
  <c r="N283" i="12"/>
  <c r="O286" i="12"/>
  <c r="P286" i="12"/>
  <c r="L287" i="12"/>
  <c r="O287" i="12" s="1"/>
  <c r="M287" i="12"/>
  <c r="M285" i="12" s="1"/>
  <c r="P285" i="12" s="1"/>
  <c r="N287" i="12"/>
  <c r="N285" i="12" s="1"/>
  <c r="O289" i="12"/>
  <c r="P289" i="12"/>
  <c r="L290" i="12"/>
  <c r="L288" i="12" s="1"/>
  <c r="O288" i="12" s="1"/>
  <c r="M290" i="12"/>
  <c r="M288" i="12" s="1"/>
  <c r="P288" i="12" s="1"/>
  <c r="N290" i="12"/>
  <c r="N288" i="12" s="1"/>
  <c r="I292" i="12"/>
  <c r="I281" i="12" s="1"/>
  <c r="K281" i="12" s="1"/>
  <c r="I293" i="12"/>
  <c r="J293" i="12"/>
  <c r="J280" i="12" s="1"/>
  <c r="I295" i="12"/>
  <c r="K295" i="12" s="1"/>
  <c r="I296" i="12"/>
  <c r="K296" i="12" s="1"/>
  <c r="J302" i="12"/>
  <c r="L304" i="12"/>
  <c r="M304" i="12"/>
  <c r="P304" i="12" s="1"/>
  <c r="N304" i="12"/>
  <c r="O304" i="12"/>
  <c r="O307" i="12"/>
  <c r="P307" i="12"/>
  <c r="L308" i="12"/>
  <c r="L306" i="12" s="1"/>
  <c r="O306" i="12" s="1"/>
  <c r="M308" i="12"/>
  <c r="N308" i="12"/>
  <c r="O310" i="12"/>
  <c r="P310" i="12"/>
  <c r="L311" i="12"/>
  <c r="L309" i="12" s="1"/>
  <c r="O309" i="12" s="1"/>
  <c r="M311" i="12"/>
  <c r="M309" i="12" s="1"/>
  <c r="P309" i="12" s="1"/>
  <c r="N311" i="12"/>
  <c r="N309" i="12" s="1"/>
  <c r="I314" i="12"/>
  <c r="K314" i="12" s="1"/>
  <c r="I315" i="12"/>
  <c r="K315" i="12" s="1"/>
  <c r="I316" i="12"/>
  <c r="K316" i="12" s="1"/>
  <c r="I317" i="12"/>
  <c r="K317" i="12" s="1"/>
  <c r="J319" i="12"/>
  <c r="L321" i="12"/>
  <c r="O321" i="12" s="1"/>
  <c r="M321" i="12"/>
  <c r="P321" i="12" s="1"/>
  <c r="N321" i="12"/>
  <c r="O324" i="12"/>
  <c r="P324" i="12"/>
  <c r="L325" i="12"/>
  <c r="L323" i="12" s="1"/>
  <c r="O323" i="12" s="1"/>
  <c r="M325" i="12"/>
  <c r="M323" i="12" s="1"/>
  <c r="P323" i="12" s="1"/>
  <c r="N325" i="12"/>
  <c r="N323" i="12" s="1"/>
  <c r="O327" i="12"/>
  <c r="P327" i="12"/>
  <c r="L328" i="12"/>
  <c r="O328" i="12" s="1"/>
  <c r="M328" i="12"/>
  <c r="N328" i="12"/>
  <c r="N326" i="12" s="1"/>
  <c r="I330" i="12"/>
  <c r="I319" i="12" s="1"/>
  <c r="K319" i="12" s="1"/>
  <c r="L334" i="12"/>
  <c r="O334" i="12" s="1"/>
  <c r="M334" i="12"/>
  <c r="P334" i="12" s="1"/>
  <c r="N334" i="12"/>
  <c r="O337" i="12"/>
  <c r="P337" i="12"/>
  <c r="L338" i="12"/>
  <c r="L336" i="12" s="1"/>
  <c r="M338" i="12"/>
  <c r="M336" i="12" s="1"/>
  <c r="N338" i="12"/>
  <c r="N336" i="12" s="1"/>
  <c r="O340" i="12"/>
  <c r="P340" i="12"/>
  <c r="L341" i="12"/>
  <c r="L339" i="12" s="1"/>
  <c r="O339" i="12" s="1"/>
  <c r="M341" i="12"/>
  <c r="P341" i="12" s="1"/>
  <c r="N341" i="12"/>
  <c r="N339" i="12" s="1"/>
  <c r="I344" i="12"/>
  <c r="I332" i="12" s="1"/>
  <c r="J344" i="12"/>
  <c r="I346" i="12"/>
  <c r="J346" i="12"/>
  <c r="J347" i="12"/>
  <c r="J348" i="12"/>
  <c r="J349" i="12"/>
  <c r="D350" i="12"/>
  <c r="J352" i="12"/>
  <c r="J353" i="12"/>
  <c r="D354" i="12"/>
  <c r="L357" i="12"/>
  <c r="O357" i="12" s="1"/>
  <c r="M357" i="12"/>
  <c r="P357" i="12" s="1"/>
  <c r="N357" i="12"/>
  <c r="O360" i="12"/>
  <c r="P360" i="12"/>
  <c r="L361" i="12"/>
  <c r="L359" i="12" s="1"/>
  <c r="M361" i="12"/>
  <c r="M359" i="12" s="1"/>
  <c r="N361" i="12"/>
  <c r="N359" i="12" s="1"/>
  <c r="O363" i="12"/>
  <c r="P363" i="12"/>
  <c r="L364" i="12"/>
  <c r="L362" i="12" s="1"/>
  <c r="O362" i="12" s="1"/>
  <c r="M364" i="12"/>
  <c r="M362" i="12" s="1"/>
  <c r="P362" i="12" s="1"/>
  <c r="N364" i="12"/>
  <c r="N362" i="12" s="1"/>
  <c r="J367" i="12"/>
  <c r="K367" i="12"/>
  <c r="I368" i="12"/>
  <c r="J368" i="12"/>
  <c r="I369" i="12"/>
  <c r="J369" i="12"/>
  <c r="J370" i="12"/>
  <c r="K370" i="12"/>
  <c r="I371" i="12"/>
  <c r="I365" i="12" s="1"/>
  <c r="J371" i="12"/>
  <c r="J365" i="12" s="1"/>
  <c r="J372" i="12"/>
  <c r="K372" i="12"/>
  <c r="D373" i="12"/>
  <c r="I376" i="12"/>
  <c r="K376" i="12" s="1"/>
  <c r="J376" i="12"/>
  <c r="L378" i="12"/>
  <c r="O378" i="12" s="1"/>
  <c r="M378" i="12"/>
  <c r="P378" i="12" s="1"/>
  <c r="N378" i="12"/>
  <c r="O381" i="12"/>
  <c r="P381" i="12"/>
  <c r="L382" i="12"/>
  <c r="M382" i="12"/>
  <c r="P382" i="12" s="1"/>
  <c r="N382" i="12"/>
  <c r="N380" i="12" s="1"/>
  <c r="O384" i="12"/>
  <c r="P384" i="12"/>
  <c r="L385" i="12"/>
  <c r="L383" i="12" s="1"/>
  <c r="O383" i="12" s="1"/>
  <c r="M385" i="12"/>
  <c r="P385" i="12" s="1"/>
  <c r="N385" i="12"/>
  <c r="N383" i="12" s="1"/>
  <c r="K387" i="12"/>
  <c r="K388" i="12"/>
  <c r="A391" i="12"/>
  <c r="L22" i="11"/>
  <c r="M22" i="11"/>
  <c r="N22" i="11"/>
  <c r="L25" i="11"/>
  <c r="M25" i="11"/>
  <c r="P25" i="11" s="1"/>
  <c r="N25" i="11"/>
  <c r="O25" i="11"/>
  <c r="L45" i="11"/>
  <c r="M45" i="11"/>
  <c r="P45" i="11" s="1"/>
  <c r="N45" i="11"/>
  <c r="O45" i="11"/>
  <c r="O48" i="11"/>
  <c r="P48" i="11"/>
  <c r="L49" i="11"/>
  <c r="L47" i="11" s="1"/>
  <c r="M49" i="11"/>
  <c r="M47" i="11" s="1"/>
  <c r="N49" i="11"/>
  <c r="N47" i="11" s="1"/>
  <c r="O51" i="11"/>
  <c r="P51" i="11"/>
  <c r="L52" i="11"/>
  <c r="L50" i="11" s="1"/>
  <c r="O50" i="11" s="1"/>
  <c r="M52" i="11"/>
  <c r="M50" i="11" s="1"/>
  <c r="P50" i="11" s="1"/>
  <c r="N52" i="11"/>
  <c r="L60" i="11"/>
  <c r="M60" i="11"/>
  <c r="N60" i="11"/>
  <c r="P60" i="11"/>
  <c r="O63" i="11"/>
  <c r="P63" i="11"/>
  <c r="L64" i="11"/>
  <c r="M64" i="11"/>
  <c r="N64" i="11"/>
  <c r="N62" i="11" s="1"/>
  <c r="O66" i="11"/>
  <c r="P66" i="11"/>
  <c r="L67" i="11"/>
  <c r="O67" i="11" s="1"/>
  <c r="M67" i="11"/>
  <c r="N67" i="11"/>
  <c r="N65" i="11" s="1"/>
  <c r="L73" i="11"/>
  <c r="O73" i="11" s="1"/>
  <c r="M73" i="11"/>
  <c r="P73" i="11" s="1"/>
  <c r="N73" i="11"/>
  <c r="O76" i="11"/>
  <c r="P76" i="11"/>
  <c r="L77" i="11"/>
  <c r="L75" i="11" s="1"/>
  <c r="O75" i="11" s="1"/>
  <c r="M77" i="11"/>
  <c r="M75" i="11" s="1"/>
  <c r="P75" i="11" s="1"/>
  <c r="N77" i="11"/>
  <c r="N75" i="11" s="1"/>
  <c r="O79" i="11"/>
  <c r="P79" i="11"/>
  <c r="L80" i="11"/>
  <c r="L78" i="11" s="1"/>
  <c r="O78" i="11" s="1"/>
  <c r="M80" i="11"/>
  <c r="M78" i="11" s="1"/>
  <c r="P78" i="11" s="1"/>
  <c r="N80" i="11"/>
  <c r="N78" i="11" s="1"/>
  <c r="J82" i="11"/>
  <c r="J70" i="11" s="1"/>
  <c r="J83" i="11"/>
  <c r="J71" i="11" s="1"/>
  <c r="I84" i="11"/>
  <c r="K84" i="11" s="1"/>
  <c r="I85" i="11"/>
  <c r="K85" i="11" s="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O95" i="11" s="1"/>
  <c r="M95" i="11"/>
  <c r="N95" i="11"/>
  <c r="P95" i="11"/>
  <c r="O98" i="11"/>
  <c r="P98" i="11"/>
  <c r="L99" i="11"/>
  <c r="L97" i="11" s="1"/>
  <c r="O97" i="11" s="1"/>
  <c r="M99" i="11"/>
  <c r="M97" i="11" s="1"/>
  <c r="P97" i="11" s="1"/>
  <c r="N99" i="11"/>
  <c r="O101" i="11"/>
  <c r="P101" i="11"/>
  <c r="L102" i="11"/>
  <c r="L100" i="11" s="1"/>
  <c r="O100" i="11" s="1"/>
  <c r="M102" i="11"/>
  <c r="M100" i="11" s="1"/>
  <c r="P100" i="11" s="1"/>
  <c r="N102" i="11"/>
  <c r="N100" i="11" s="1"/>
  <c r="I108" i="11"/>
  <c r="I109" i="11"/>
  <c r="K109" i="11" s="1"/>
  <c r="I117" i="11"/>
  <c r="K117" i="11" s="1"/>
  <c r="L126" i="11"/>
  <c r="O126" i="11" s="1"/>
  <c r="M126" i="11"/>
  <c r="N126" i="11"/>
  <c r="O129" i="11"/>
  <c r="P129" i="11"/>
  <c r="L130" i="11"/>
  <c r="M130" i="11"/>
  <c r="N130" i="11"/>
  <c r="N128" i="11" s="1"/>
  <c r="O132" i="11"/>
  <c r="P132" i="11"/>
  <c r="L133" i="11"/>
  <c r="M133" i="11"/>
  <c r="P133" i="11" s="1"/>
  <c r="N133" i="11"/>
  <c r="N131" i="11" s="1"/>
  <c r="J136" i="11"/>
  <c r="J137" i="11"/>
  <c r="J138" i="11"/>
  <c r="L140" i="11"/>
  <c r="O140" i="11" s="1"/>
  <c r="M140" i="11"/>
  <c r="N140" i="11"/>
  <c r="O143" i="11"/>
  <c r="P143" i="11"/>
  <c r="L144" i="11"/>
  <c r="M144" i="11"/>
  <c r="P144" i="11" s="1"/>
  <c r="N144" i="11"/>
  <c r="N142" i="11" s="1"/>
  <c r="O146" i="11"/>
  <c r="P146" i="11"/>
  <c r="L147" i="11"/>
  <c r="M147" i="11"/>
  <c r="P147" i="11" s="1"/>
  <c r="N147" i="11"/>
  <c r="N145" i="11" s="1"/>
  <c r="I150" i="11"/>
  <c r="K150" i="11" s="1"/>
  <c r="I151" i="11"/>
  <c r="K151" i="11" s="1"/>
  <c r="I152" i="11"/>
  <c r="I137" i="11" s="1"/>
  <c r="K137" i="11" s="1"/>
  <c r="I153" i="11"/>
  <c r="I138" i="11" s="1"/>
  <c r="K138" i="11" s="1"/>
  <c r="I154" i="11"/>
  <c r="I136" i="11" s="1"/>
  <c r="K136" i="11" s="1"/>
  <c r="J156" i="11"/>
  <c r="L158" i="11"/>
  <c r="M158" i="11"/>
  <c r="P158" i="11" s="1"/>
  <c r="N158" i="11"/>
  <c r="O158" i="11"/>
  <c r="O161" i="11"/>
  <c r="P161" i="11"/>
  <c r="L162" i="11"/>
  <c r="L160" i="11" s="1"/>
  <c r="O160" i="11" s="1"/>
  <c r="M162" i="11"/>
  <c r="M160" i="11" s="1"/>
  <c r="P160" i="11" s="1"/>
  <c r="N162" i="11"/>
  <c r="N160" i="11" s="1"/>
  <c r="O164" i="11"/>
  <c r="P164" i="11"/>
  <c r="L165" i="11"/>
  <c r="L163" i="11" s="1"/>
  <c r="O163" i="11" s="1"/>
  <c r="M165" i="11"/>
  <c r="M163" i="11" s="1"/>
  <c r="P163" i="11" s="1"/>
  <c r="N165" i="11"/>
  <c r="N163" i="11" s="1"/>
  <c r="I167" i="11"/>
  <c r="K167" i="11" s="1"/>
  <c r="I168" i="11"/>
  <c r="K168" i="11" s="1"/>
  <c r="I169" i="11"/>
  <c r="I156" i="11" s="1"/>
  <c r="K156" i="11" s="1"/>
  <c r="J172" i="11"/>
  <c r="L174" i="11"/>
  <c r="O174" i="11" s="1"/>
  <c r="M174" i="11"/>
  <c r="P174" i="11" s="1"/>
  <c r="N174" i="11"/>
  <c r="O177" i="11"/>
  <c r="P177" i="11"/>
  <c r="L178" i="11"/>
  <c r="M178" i="11"/>
  <c r="M176" i="11" s="1"/>
  <c r="N178" i="11"/>
  <c r="N176" i="11" s="1"/>
  <c r="O180" i="11"/>
  <c r="P180" i="11"/>
  <c r="L181" i="11"/>
  <c r="L179" i="11" s="1"/>
  <c r="O179" i="11" s="1"/>
  <c r="M181" i="11"/>
  <c r="M179" i="11" s="1"/>
  <c r="P179" i="11" s="1"/>
  <c r="N181" i="11"/>
  <c r="N179" i="11" s="1"/>
  <c r="I183" i="11"/>
  <c r="I172" i="11" s="1"/>
  <c r="K184" i="11"/>
  <c r="L187" i="11"/>
  <c r="M187" i="11"/>
  <c r="N187" i="11"/>
  <c r="P187" i="11"/>
  <c r="O190" i="11"/>
  <c r="P190" i="11"/>
  <c r="L191" i="11"/>
  <c r="M191" i="11"/>
  <c r="N191" i="11"/>
  <c r="O193" i="11"/>
  <c r="P193" i="11"/>
  <c r="L194" i="11"/>
  <c r="M194" i="11"/>
  <c r="P194" i="11" s="1"/>
  <c r="N194" i="11"/>
  <c r="N192" i="11" s="1"/>
  <c r="J195" i="11"/>
  <c r="L196" i="11"/>
  <c r="O196" i="11" s="1"/>
  <c r="P196" i="11"/>
  <c r="I198" i="11"/>
  <c r="K198" i="11" s="1"/>
  <c r="J199" i="11"/>
  <c r="J202" i="11"/>
  <c r="N203" i="11"/>
  <c r="P203" i="11"/>
  <c r="L204" i="11"/>
  <c r="L205" i="11"/>
  <c r="L206" i="11"/>
  <c r="L207" i="11"/>
  <c r="I209" i="11"/>
  <c r="I211" i="11"/>
  <c r="K211" i="11" s="1"/>
  <c r="I212" i="11"/>
  <c r="K212" i="11" s="1"/>
  <c r="J213" i="11"/>
  <c r="N214" i="11"/>
  <c r="P214" i="11"/>
  <c r="L215" i="11"/>
  <c r="L216" i="11"/>
  <c r="L217" i="11"/>
  <c r="I219" i="11"/>
  <c r="K219" i="11" s="1"/>
  <c r="I220" i="11"/>
  <c r="J221" i="11"/>
  <c r="N222" i="11"/>
  <c r="P222" i="11"/>
  <c r="L223" i="11"/>
  <c r="L224" i="11"/>
  <c r="L225" i="11"/>
  <c r="I228" i="11"/>
  <c r="K228" i="11" s="1"/>
  <c r="I229" i="11"/>
  <c r="I230" i="11"/>
  <c r="K230" i="11" s="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N243" i="11"/>
  <c r="N232" i="11" s="1"/>
  <c r="P243" i="11"/>
  <c r="L244" i="11"/>
  <c r="L245" i="11"/>
  <c r="L246" i="11"/>
  <c r="L247" i="11"/>
  <c r="I249" i="11"/>
  <c r="K251" i="11"/>
  <c r="K252" i="11"/>
  <c r="J253" i="11"/>
  <c r="N254" i="11"/>
  <c r="P254" i="11"/>
  <c r="L255" i="11"/>
  <c r="L256" i="11"/>
  <c r="L257" i="11"/>
  <c r="L258" i="11"/>
  <c r="I260" i="11"/>
  <c r="K262" i="11"/>
  <c r="K263" i="11"/>
  <c r="I265" i="11"/>
  <c r="J265" i="11"/>
  <c r="K265" i="11"/>
  <c r="L267" i="11"/>
  <c r="M267" i="11"/>
  <c r="P267" i="11" s="1"/>
  <c r="N267" i="11"/>
  <c r="O270" i="11"/>
  <c r="P270" i="11"/>
  <c r="L271" i="11"/>
  <c r="M271" i="11"/>
  <c r="P271" i="11" s="1"/>
  <c r="N271" i="11"/>
  <c r="N269" i="11" s="1"/>
  <c r="O273" i="11"/>
  <c r="P273" i="11"/>
  <c r="L274" i="11"/>
  <c r="L272" i="11" s="1"/>
  <c r="O272" i="11" s="1"/>
  <c r="M274" i="11"/>
  <c r="M272" i="11" s="1"/>
  <c r="P272" i="11" s="1"/>
  <c r="N274" i="11"/>
  <c r="N272" i="11" s="1"/>
  <c r="J281" i="11"/>
  <c r="L283" i="11"/>
  <c r="M283" i="11"/>
  <c r="P283" i="11" s="1"/>
  <c r="N283" i="11"/>
  <c r="O286" i="11"/>
  <c r="P286" i="11"/>
  <c r="L287" i="11"/>
  <c r="L285" i="11" s="1"/>
  <c r="O285" i="11" s="1"/>
  <c r="M287" i="11"/>
  <c r="M285" i="11" s="1"/>
  <c r="P285" i="11" s="1"/>
  <c r="N287" i="11"/>
  <c r="N285" i="11" s="1"/>
  <c r="O289" i="11"/>
  <c r="P289" i="11"/>
  <c r="L290" i="11"/>
  <c r="L288" i="11" s="1"/>
  <c r="O288" i="11" s="1"/>
  <c r="M290" i="11"/>
  <c r="M288" i="11" s="1"/>
  <c r="P288" i="11" s="1"/>
  <c r="N290" i="11"/>
  <c r="N288" i="11" s="1"/>
  <c r="I292" i="11"/>
  <c r="I281" i="11" s="1"/>
  <c r="K281" i="11" s="1"/>
  <c r="I293" i="11"/>
  <c r="I280" i="11" s="1"/>
  <c r="K280" i="11" s="1"/>
  <c r="J293" i="11"/>
  <c r="J280" i="11" s="1"/>
  <c r="I295" i="11"/>
  <c r="K295" i="11" s="1"/>
  <c r="I296" i="11"/>
  <c r="K296" i="11" s="1"/>
  <c r="J302" i="11"/>
  <c r="L304" i="11"/>
  <c r="O304" i="11" s="1"/>
  <c r="M304" i="11"/>
  <c r="N304" i="11"/>
  <c r="P304" i="11"/>
  <c r="O307" i="11"/>
  <c r="P307" i="11"/>
  <c r="L308" i="11"/>
  <c r="M308" i="11"/>
  <c r="M306" i="11" s="1"/>
  <c r="P306" i="11" s="1"/>
  <c r="N308" i="11"/>
  <c r="N306" i="11" s="1"/>
  <c r="O310" i="11"/>
  <c r="P310" i="11"/>
  <c r="L311" i="11"/>
  <c r="O311" i="11" s="1"/>
  <c r="M311" i="11"/>
  <c r="M309" i="11" s="1"/>
  <c r="P309" i="11" s="1"/>
  <c r="N311" i="11"/>
  <c r="N309" i="11" s="1"/>
  <c r="I314" i="11"/>
  <c r="I302" i="11" s="1"/>
  <c r="K302" i="11" s="1"/>
  <c r="I315" i="11"/>
  <c r="K315" i="11" s="1"/>
  <c r="I316" i="11"/>
  <c r="K316" i="11" s="1"/>
  <c r="I317" i="11"/>
  <c r="K317" i="11" s="1"/>
  <c r="J319" i="11"/>
  <c r="L321" i="11"/>
  <c r="M321" i="11"/>
  <c r="N321" i="11"/>
  <c r="O324" i="11"/>
  <c r="P324" i="11"/>
  <c r="L325" i="11"/>
  <c r="M325" i="11"/>
  <c r="M323" i="11" s="1"/>
  <c r="P323" i="11" s="1"/>
  <c r="N325" i="11"/>
  <c r="N323" i="11" s="1"/>
  <c r="O327" i="11"/>
  <c r="P327" i="11"/>
  <c r="L328" i="11"/>
  <c r="O328" i="11" s="1"/>
  <c r="M328" i="11"/>
  <c r="M326" i="11" s="1"/>
  <c r="P326" i="11" s="1"/>
  <c r="N328" i="11"/>
  <c r="N326" i="11" s="1"/>
  <c r="I330" i="11"/>
  <c r="K330" i="11" s="1"/>
  <c r="L334" i="11"/>
  <c r="O334" i="11" s="1"/>
  <c r="M334" i="11"/>
  <c r="N334" i="11"/>
  <c r="P334" i="11"/>
  <c r="O337" i="11"/>
  <c r="P337" i="11"/>
  <c r="L338" i="11"/>
  <c r="M338" i="11"/>
  <c r="M336" i="11" s="1"/>
  <c r="N338" i="11"/>
  <c r="N336" i="11" s="1"/>
  <c r="O340" i="11"/>
  <c r="P340" i="11"/>
  <c r="L341" i="11"/>
  <c r="O341" i="11" s="1"/>
  <c r="M341" i="11"/>
  <c r="M339" i="11" s="1"/>
  <c r="P339" i="11" s="1"/>
  <c r="N341" i="11"/>
  <c r="N339" i="11" s="1"/>
  <c r="I344" i="11"/>
  <c r="I332" i="11" s="1"/>
  <c r="J344" i="11"/>
  <c r="I346" i="11"/>
  <c r="J346" i="11"/>
  <c r="J347" i="11"/>
  <c r="J348" i="11"/>
  <c r="J349" i="11"/>
  <c r="D350" i="11"/>
  <c r="J352" i="11"/>
  <c r="J353" i="11"/>
  <c r="D354" i="11"/>
  <c r="L357" i="11"/>
  <c r="M357" i="11"/>
  <c r="P357" i="11" s="1"/>
  <c r="N357" i="11"/>
  <c r="O357" i="11"/>
  <c r="O360" i="11"/>
  <c r="P360" i="11"/>
  <c r="L361" i="11"/>
  <c r="L359" i="11" s="1"/>
  <c r="M361" i="11"/>
  <c r="N361" i="11"/>
  <c r="N359" i="11" s="1"/>
  <c r="O363" i="11"/>
  <c r="P363" i="11"/>
  <c r="L364" i="11"/>
  <c r="O364" i="11" s="1"/>
  <c r="M364" i="11"/>
  <c r="M362" i="11" s="1"/>
  <c r="P362" i="11" s="1"/>
  <c r="N364" i="11"/>
  <c r="N362" i="11" s="1"/>
  <c r="J367" i="11"/>
  <c r="K367" i="11"/>
  <c r="I368" i="11"/>
  <c r="J368" i="11"/>
  <c r="I369" i="11"/>
  <c r="J369" i="11"/>
  <c r="J370" i="11"/>
  <c r="K370" i="11"/>
  <c r="I371" i="11"/>
  <c r="I365" i="11" s="1"/>
  <c r="J371" i="11"/>
  <c r="J365" i="11" s="1"/>
  <c r="J372" i="11"/>
  <c r="K372" i="11"/>
  <c r="D373" i="11"/>
  <c r="I376" i="11"/>
  <c r="K376" i="11" s="1"/>
  <c r="J376" i="11"/>
  <c r="L378" i="11"/>
  <c r="O378" i="11" s="1"/>
  <c r="M378" i="11"/>
  <c r="N378" i="11"/>
  <c r="P378" i="11"/>
  <c r="O381" i="11"/>
  <c r="P381" i="11"/>
  <c r="L382" i="11"/>
  <c r="L380" i="11" s="1"/>
  <c r="O380" i="11" s="1"/>
  <c r="M382" i="11"/>
  <c r="M380" i="11" s="1"/>
  <c r="P380" i="11" s="1"/>
  <c r="N382" i="11"/>
  <c r="N380" i="11" s="1"/>
  <c r="O384" i="11"/>
  <c r="P384" i="11"/>
  <c r="L385" i="11"/>
  <c r="L383" i="11" s="1"/>
  <c r="O383" i="11" s="1"/>
  <c r="M385" i="11"/>
  <c r="M383" i="11" s="1"/>
  <c r="P383" i="11" s="1"/>
  <c r="N385" i="11"/>
  <c r="N383" i="11" s="1"/>
  <c r="K387" i="11"/>
  <c r="K388" i="11"/>
  <c r="A391" i="11"/>
  <c r="L22" i="10"/>
  <c r="M22" i="10"/>
  <c r="N22" i="10"/>
  <c r="O22" i="10"/>
  <c r="L25" i="10"/>
  <c r="L19" i="10" s="1"/>
  <c r="M25" i="10"/>
  <c r="N25" i="10"/>
  <c r="P25" i="10"/>
  <c r="L45" i="10"/>
  <c r="O45" i="10" s="1"/>
  <c r="M45" i="10"/>
  <c r="P45" i="10" s="1"/>
  <c r="N45" i="10"/>
  <c r="O48" i="10"/>
  <c r="P48" i="10"/>
  <c r="L49" i="10"/>
  <c r="L47" i="10" s="1"/>
  <c r="M49" i="10"/>
  <c r="M47" i="10" s="1"/>
  <c r="N49" i="10"/>
  <c r="O51" i="10"/>
  <c r="P51" i="10"/>
  <c r="L52" i="10"/>
  <c r="L50" i="10" s="1"/>
  <c r="O50" i="10" s="1"/>
  <c r="M52" i="10"/>
  <c r="P52" i="10" s="1"/>
  <c r="N52" i="10"/>
  <c r="N50" i="10" s="1"/>
  <c r="L60" i="10"/>
  <c r="M60" i="10"/>
  <c r="P60" i="10" s="1"/>
  <c r="N60" i="10"/>
  <c r="O63" i="10"/>
  <c r="P63" i="10"/>
  <c r="L64" i="10"/>
  <c r="M64" i="10"/>
  <c r="M62" i="10" s="1"/>
  <c r="N64" i="10"/>
  <c r="O66" i="10"/>
  <c r="P66" i="10"/>
  <c r="L67" i="10"/>
  <c r="M67" i="10"/>
  <c r="P67" i="10" s="1"/>
  <c r="N67" i="10"/>
  <c r="N65" i="10" s="1"/>
  <c r="L73" i="10"/>
  <c r="M73" i="10"/>
  <c r="N73" i="10"/>
  <c r="O73" i="10"/>
  <c r="P73" i="10"/>
  <c r="O76" i="10"/>
  <c r="P76" i="10"/>
  <c r="L77" i="10"/>
  <c r="L75" i="10" s="1"/>
  <c r="O75" i="10" s="1"/>
  <c r="M77" i="10"/>
  <c r="M75" i="10" s="1"/>
  <c r="P75" i="10" s="1"/>
  <c r="N77" i="10"/>
  <c r="N75" i="10" s="1"/>
  <c r="O79" i="10"/>
  <c r="P79" i="10"/>
  <c r="L80" i="10"/>
  <c r="L78" i="10" s="1"/>
  <c r="O78" i="10" s="1"/>
  <c r="M80" i="10"/>
  <c r="M78" i="10" s="1"/>
  <c r="P78" i="10" s="1"/>
  <c r="N80" i="10"/>
  <c r="N78" i="10" s="1"/>
  <c r="J82" i="10"/>
  <c r="J70" i="10" s="1"/>
  <c r="J83" i="10"/>
  <c r="J71" i="10" s="1"/>
  <c r="I84" i="10"/>
  <c r="K84" i="10" s="1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O95" i="10"/>
  <c r="O98" i="10"/>
  <c r="P98" i="10"/>
  <c r="L99" i="10"/>
  <c r="M99" i="10"/>
  <c r="M97" i="10" s="1"/>
  <c r="P97" i="10" s="1"/>
  <c r="N99" i="10"/>
  <c r="N97" i="10" s="1"/>
  <c r="O101" i="10"/>
  <c r="P101" i="10"/>
  <c r="L102" i="10"/>
  <c r="O102" i="10" s="1"/>
  <c r="M102" i="10"/>
  <c r="M100" i="10" s="1"/>
  <c r="P100" i="10" s="1"/>
  <c r="N102" i="10"/>
  <c r="I108" i="10"/>
  <c r="I109" i="10"/>
  <c r="K109" i="10" s="1"/>
  <c r="I117" i="10"/>
  <c r="K117" i="10" s="1"/>
  <c r="L126" i="10"/>
  <c r="O126" i="10" s="1"/>
  <c r="M126" i="10"/>
  <c r="P126" i="10" s="1"/>
  <c r="N126" i="10"/>
  <c r="O129" i="10"/>
  <c r="P129" i="10"/>
  <c r="L130" i="10"/>
  <c r="M130" i="10"/>
  <c r="N130" i="10"/>
  <c r="O132" i="10"/>
  <c r="P132" i="10"/>
  <c r="L133" i="10"/>
  <c r="L131" i="10" s="1"/>
  <c r="O131" i="10" s="1"/>
  <c r="M133" i="10"/>
  <c r="N133" i="10"/>
  <c r="N131" i="10" s="1"/>
  <c r="J136" i="10"/>
  <c r="J137" i="10"/>
  <c r="J138" i="10"/>
  <c r="L140" i="10"/>
  <c r="O140" i="10" s="1"/>
  <c r="M140" i="10"/>
  <c r="N140" i="10"/>
  <c r="P140" i="10"/>
  <c r="O143" i="10"/>
  <c r="P143" i="10"/>
  <c r="L144" i="10"/>
  <c r="L142" i="10" s="1"/>
  <c r="O142" i="10" s="1"/>
  <c r="M144" i="10"/>
  <c r="M142" i="10" s="1"/>
  <c r="P142" i="10" s="1"/>
  <c r="N144" i="10"/>
  <c r="N142" i="10" s="1"/>
  <c r="O146" i="10"/>
  <c r="P146" i="10"/>
  <c r="L147" i="10"/>
  <c r="L145" i="10" s="1"/>
  <c r="O145" i="10" s="1"/>
  <c r="M147" i="10"/>
  <c r="M145" i="10" s="1"/>
  <c r="P145" i="10" s="1"/>
  <c r="N147" i="10"/>
  <c r="N145" i="10" s="1"/>
  <c r="I150" i="10"/>
  <c r="K150" i="10" s="1"/>
  <c r="I151" i="10"/>
  <c r="K151" i="10" s="1"/>
  <c r="I152" i="10"/>
  <c r="K152" i="10" s="1"/>
  <c r="I153" i="10"/>
  <c r="K153" i="10" s="1"/>
  <c r="I154" i="10"/>
  <c r="I136" i="10" s="1"/>
  <c r="K136" i="10" s="1"/>
  <c r="J156" i="10"/>
  <c r="L158" i="10"/>
  <c r="M158" i="10"/>
  <c r="N158" i="10"/>
  <c r="P158" i="10"/>
  <c r="O161" i="10"/>
  <c r="P161" i="10"/>
  <c r="L162" i="10"/>
  <c r="L160" i="10" s="1"/>
  <c r="O160" i="10" s="1"/>
  <c r="M162" i="10"/>
  <c r="M160" i="10" s="1"/>
  <c r="P160" i="10" s="1"/>
  <c r="N162" i="10"/>
  <c r="O164" i="10"/>
  <c r="P164" i="10"/>
  <c r="L165" i="10"/>
  <c r="L163" i="10" s="1"/>
  <c r="O163" i="10" s="1"/>
  <c r="M165" i="10"/>
  <c r="P165" i="10" s="1"/>
  <c r="N165" i="10"/>
  <c r="N163" i="10" s="1"/>
  <c r="I167" i="10"/>
  <c r="K167" i="10" s="1"/>
  <c r="I168" i="10"/>
  <c r="K168" i="10" s="1"/>
  <c r="I169" i="10"/>
  <c r="I156" i="10" s="1"/>
  <c r="K156" i="10" s="1"/>
  <c r="J172" i="10"/>
  <c r="L174" i="10"/>
  <c r="M174" i="10"/>
  <c r="P174" i="10" s="1"/>
  <c r="N174" i="10"/>
  <c r="O174" i="10"/>
  <c r="O177" i="10"/>
  <c r="P177" i="10"/>
  <c r="L178" i="10"/>
  <c r="L176" i="10" s="1"/>
  <c r="O176" i="10" s="1"/>
  <c r="M178" i="10"/>
  <c r="N178" i="10"/>
  <c r="O180" i="10"/>
  <c r="P180" i="10"/>
  <c r="L181" i="10"/>
  <c r="L179" i="10" s="1"/>
  <c r="O179" i="10" s="1"/>
  <c r="M181" i="10"/>
  <c r="M179" i="10" s="1"/>
  <c r="P179" i="10" s="1"/>
  <c r="N181" i="10"/>
  <c r="N179" i="10" s="1"/>
  <c r="I183" i="10"/>
  <c r="I172" i="10" s="1"/>
  <c r="K172" i="10" s="1"/>
  <c r="K184" i="10"/>
  <c r="L187" i="10"/>
  <c r="O187" i="10" s="1"/>
  <c r="M187" i="10"/>
  <c r="P187" i="10" s="1"/>
  <c r="N187" i="10"/>
  <c r="O190" i="10"/>
  <c r="P190" i="10"/>
  <c r="L191" i="10"/>
  <c r="L189" i="10" s="1"/>
  <c r="M191" i="10"/>
  <c r="N191" i="10"/>
  <c r="O193" i="10"/>
  <c r="P193" i="10"/>
  <c r="L194" i="10"/>
  <c r="L192" i="10" s="1"/>
  <c r="O192" i="10" s="1"/>
  <c r="M194" i="10"/>
  <c r="M192" i="10" s="1"/>
  <c r="P192" i="10" s="1"/>
  <c r="N194" i="10"/>
  <c r="N192" i="10" s="1"/>
  <c r="J195" i="10"/>
  <c r="L196" i="10"/>
  <c r="O196" i="10" s="1"/>
  <c r="P196" i="10"/>
  <c r="I198" i="10"/>
  <c r="I195" i="10" s="1"/>
  <c r="K195" i="10" s="1"/>
  <c r="J199" i="10"/>
  <c r="J202" i="10"/>
  <c r="N203" i="10"/>
  <c r="P203" i="10"/>
  <c r="L204" i="10"/>
  <c r="L205" i="10"/>
  <c r="L206" i="10"/>
  <c r="I209" i="10"/>
  <c r="I202" i="10" s="1"/>
  <c r="K202" i="10" s="1"/>
  <c r="I211" i="10"/>
  <c r="K211" i="10" s="1"/>
  <c r="I212" i="10"/>
  <c r="K212" i="10" s="1"/>
  <c r="J213" i="10"/>
  <c r="N214" i="10"/>
  <c r="P214" i="10"/>
  <c r="L215" i="10"/>
  <c r="L216" i="10"/>
  <c r="L217" i="10"/>
  <c r="I219" i="10"/>
  <c r="K219" i="10" s="1"/>
  <c r="I220" i="10"/>
  <c r="I213" i="10" s="1"/>
  <c r="K213" i="10" s="1"/>
  <c r="J221" i="10"/>
  <c r="N222" i="10"/>
  <c r="P222" i="10"/>
  <c r="L223" i="10"/>
  <c r="L224" i="10"/>
  <c r="L225" i="10"/>
  <c r="I228" i="10"/>
  <c r="K228" i="10" s="1"/>
  <c r="I229" i="10"/>
  <c r="I221" i="10" s="1"/>
  <c r="K221" i="10" s="1"/>
  <c r="I230" i="10"/>
  <c r="N233" i="10"/>
  <c r="N234" i="10"/>
  <c r="N235" i="10"/>
  <c r="N236" i="10"/>
  <c r="J238" i="10"/>
  <c r="I240" i="10"/>
  <c r="K240" i="10" s="1"/>
  <c r="J240" i="10"/>
  <c r="I241" i="10"/>
  <c r="K241" i="10" s="1"/>
  <c r="J241" i="10"/>
  <c r="J242" i="10"/>
  <c r="N243" i="10"/>
  <c r="P243" i="10"/>
  <c r="L244" i="10"/>
  <c r="L245" i="10"/>
  <c r="L246" i="10"/>
  <c r="L247" i="10"/>
  <c r="I249" i="10"/>
  <c r="K249" i="10" s="1"/>
  <c r="K251" i="10"/>
  <c r="K252" i="10"/>
  <c r="J253" i="10"/>
  <c r="J231" i="10" s="1"/>
  <c r="J185" i="10" s="1"/>
  <c r="N254" i="10"/>
  <c r="P254" i="10"/>
  <c r="L255" i="10"/>
  <c r="L256" i="10"/>
  <c r="L257" i="10"/>
  <c r="L258" i="10"/>
  <c r="I260" i="10"/>
  <c r="I253" i="10" s="1"/>
  <c r="K253" i="10" s="1"/>
  <c r="K262" i="10"/>
  <c r="K263" i="10"/>
  <c r="I265" i="10"/>
  <c r="K265" i="10" s="1"/>
  <c r="J265" i="10"/>
  <c r="L267" i="10"/>
  <c r="M267" i="10"/>
  <c r="P267" i="10" s="1"/>
  <c r="N267" i="10"/>
  <c r="O267" i="10"/>
  <c r="O270" i="10"/>
  <c r="P270" i="10"/>
  <c r="L271" i="10"/>
  <c r="M271" i="10"/>
  <c r="M269" i="10" s="1"/>
  <c r="P269" i="10" s="1"/>
  <c r="N271" i="10"/>
  <c r="N269" i="10" s="1"/>
  <c r="O273" i="10"/>
  <c r="P273" i="10"/>
  <c r="L274" i="10"/>
  <c r="L272" i="10" s="1"/>
  <c r="O272" i="10" s="1"/>
  <c r="M274" i="10"/>
  <c r="M272" i="10" s="1"/>
  <c r="P272" i="10" s="1"/>
  <c r="N274" i="10"/>
  <c r="N272" i="10" s="1"/>
  <c r="J281" i="10"/>
  <c r="L283" i="10"/>
  <c r="M283" i="10"/>
  <c r="N283" i="10"/>
  <c r="O283" i="10"/>
  <c r="P283" i="10"/>
  <c r="O286" i="10"/>
  <c r="P286" i="10"/>
  <c r="L287" i="10"/>
  <c r="O287" i="10" s="1"/>
  <c r="M287" i="10"/>
  <c r="N287" i="10"/>
  <c r="O289" i="10"/>
  <c r="P289" i="10"/>
  <c r="L290" i="10"/>
  <c r="O290" i="10" s="1"/>
  <c r="M290" i="10"/>
  <c r="M288" i="10" s="1"/>
  <c r="P288" i="10" s="1"/>
  <c r="N290" i="10"/>
  <c r="N288" i="10" s="1"/>
  <c r="I292" i="10"/>
  <c r="K292" i="10" s="1"/>
  <c r="I293" i="10"/>
  <c r="K293" i="10" s="1"/>
  <c r="J293" i="10"/>
  <c r="J280" i="10" s="1"/>
  <c r="I295" i="10"/>
  <c r="K295" i="10" s="1"/>
  <c r="I296" i="10"/>
  <c r="K296" i="10" s="1"/>
  <c r="J302" i="10"/>
  <c r="L304" i="10"/>
  <c r="M304" i="10"/>
  <c r="P304" i="10" s="1"/>
  <c r="N304" i="10"/>
  <c r="O304" i="10"/>
  <c r="O307" i="10"/>
  <c r="P307" i="10"/>
  <c r="L308" i="10"/>
  <c r="M308" i="10"/>
  <c r="M306" i="10" s="1"/>
  <c r="P306" i="10" s="1"/>
  <c r="N308" i="10"/>
  <c r="N306" i="10" s="1"/>
  <c r="O310" i="10"/>
  <c r="P310" i="10"/>
  <c r="L311" i="10"/>
  <c r="L309" i="10" s="1"/>
  <c r="O309" i="10" s="1"/>
  <c r="M311" i="10"/>
  <c r="M309" i="10" s="1"/>
  <c r="P309" i="10" s="1"/>
  <c r="N311" i="10"/>
  <c r="N309" i="10" s="1"/>
  <c r="I314" i="10"/>
  <c r="K314" i="10" s="1"/>
  <c r="I315" i="10"/>
  <c r="K315" i="10" s="1"/>
  <c r="I316" i="10"/>
  <c r="K316" i="10" s="1"/>
  <c r="I317" i="10"/>
  <c r="K317" i="10" s="1"/>
  <c r="J319" i="10"/>
  <c r="L321" i="10"/>
  <c r="O321" i="10" s="1"/>
  <c r="M321" i="10"/>
  <c r="N321" i="10"/>
  <c r="O324" i="10"/>
  <c r="P324" i="10"/>
  <c r="L325" i="10"/>
  <c r="L323" i="10" s="1"/>
  <c r="O323" i="10" s="1"/>
  <c r="M325" i="10"/>
  <c r="P325" i="10" s="1"/>
  <c r="N325" i="10"/>
  <c r="O327" i="10"/>
  <c r="P327" i="10"/>
  <c r="L328" i="10"/>
  <c r="L326" i="10" s="1"/>
  <c r="O326" i="10" s="1"/>
  <c r="M328" i="10"/>
  <c r="P328" i="10" s="1"/>
  <c r="N328" i="10"/>
  <c r="N326" i="10" s="1"/>
  <c r="I330" i="10"/>
  <c r="I319" i="10" s="1"/>
  <c r="K319" i="10" s="1"/>
  <c r="L334" i="10"/>
  <c r="O334" i="10" s="1"/>
  <c r="M334" i="10"/>
  <c r="P334" i="10" s="1"/>
  <c r="N334" i="10"/>
  <c r="O337" i="10"/>
  <c r="P337" i="10"/>
  <c r="L338" i="10"/>
  <c r="L336" i="10" s="1"/>
  <c r="M338" i="10"/>
  <c r="M336" i="10" s="1"/>
  <c r="N338" i="10"/>
  <c r="N336" i="10" s="1"/>
  <c r="O340" i="10"/>
  <c r="P340" i="10"/>
  <c r="L341" i="10"/>
  <c r="L339" i="10" s="1"/>
  <c r="O339" i="10" s="1"/>
  <c r="M341" i="10"/>
  <c r="M339" i="10" s="1"/>
  <c r="P339" i="10" s="1"/>
  <c r="N341" i="10"/>
  <c r="N339" i="10" s="1"/>
  <c r="I344" i="10"/>
  <c r="I332" i="10" s="1"/>
  <c r="J344" i="10"/>
  <c r="I346" i="10"/>
  <c r="J346" i="10"/>
  <c r="J347" i="10"/>
  <c r="J348" i="10"/>
  <c r="J349" i="10"/>
  <c r="D350" i="10"/>
  <c r="J352" i="10"/>
  <c r="J353" i="10"/>
  <c r="D354" i="10"/>
  <c r="L357" i="10"/>
  <c r="M357" i="10"/>
  <c r="P357" i="10" s="1"/>
  <c r="N357" i="10"/>
  <c r="O357" i="10"/>
  <c r="O360" i="10"/>
  <c r="P360" i="10"/>
  <c r="L361" i="10"/>
  <c r="L359" i="10" s="1"/>
  <c r="M361" i="10"/>
  <c r="M359" i="10" s="1"/>
  <c r="N361" i="10"/>
  <c r="O363" i="10"/>
  <c r="P363" i="10"/>
  <c r="L364" i="10"/>
  <c r="L362" i="10" s="1"/>
  <c r="O362" i="10" s="1"/>
  <c r="M364" i="10"/>
  <c r="M362" i="10" s="1"/>
  <c r="P362" i="10" s="1"/>
  <c r="N364" i="10"/>
  <c r="N362" i="10" s="1"/>
  <c r="J367" i="10"/>
  <c r="K367" i="10"/>
  <c r="I368" i="10"/>
  <c r="J368" i="10"/>
  <c r="I369" i="10"/>
  <c r="J369" i="10"/>
  <c r="J370" i="10"/>
  <c r="K370" i="10"/>
  <c r="I371" i="10"/>
  <c r="I365" i="10" s="1"/>
  <c r="J371" i="10"/>
  <c r="J365" i="10" s="1"/>
  <c r="J372" i="10"/>
  <c r="K372" i="10"/>
  <c r="D373" i="10"/>
  <c r="I376" i="10"/>
  <c r="K376" i="10" s="1"/>
  <c r="J376" i="10"/>
  <c r="L378" i="10"/>
  <c r="O378" i="10" s="1"/>
  <c r="M378" i="10"/>
  <c r="P378" i="10" s="1"/>
  <c r="N378" i="10"/>
  <c r="O381" i="10"/>
  <c r="P381" i="10"/>
  <c r="L382" i="10"/>
  <c r="L380" i="10" s="1"/>
  <c r="O380" i="10" s="1"/>
  <c r="M382" i="10"/>
  <c r="P382" i="10" s="1"/>
  <c r="N382" i="10"/>
  <c r="N380" i="10" s="1"/>
  <c r="O384" i="10"/>
  <c r="P384" i="10"/>
  <c r="L385" i="10"/>
  <c r="L383" i="10" s="1"/>
  <c r="O383" i="10" s="1"/>
  <c r="M385" i="10"/>
  <c r="P385" i="10" s="1"/>
  <c r="N385" i="10"/>
  <c r="N383" i="10" s="1"/>
  <c r="K387" i="10"/>
  <c r="K388" i="10"/>
  <c r="A391" i="10"/>
  <c r="L22" i="9"/>
  <c r="O22" i="9" s="1"/>
  <c r="M22" i="9"/>
  <c r="M19" i="9" s="1"/>
  <c r="N22" i="9"/>
  <c r="L25" i="9"/>
  <c r="L19" i="9" s="1"/>
  <c r="M25" i="9"/>
  <c r="N25" i="9"/>
  <c r="P25" i="9"/>
  <c r="L45" i="9"/>
  <c r="O45" i="9" s="1"/>
  <c r="M45" i="9"/>
  <c r="N45" i="9"/>
  <c r="P45" i="9"/>
  <c r="O48" i="9"/>
  <c r="P48" i="9"/>
  <c r="L49" i="9"/>
  <c r="L47" i="9" s="1"/>
  <c r="M49" i="9"/>
  <c r="M47" i="9" s="1"/>
  <c r="N49" i="9"/>
  <c r="O51" i="9"/>
  <c r="P51" i="9"/>
  <c r="L52" i="9"/>
  <c r="L50" i="9" s="1"/>
  <c r="O50" i="9" s="1"/>
  <c r="M52" i="9"/>
  <c r="P52" i="9" s="1"/>
  <c r="N52" i="9"/>
  <c r="N50" i="9" s="1"/>
  <c r="L60" i="9"/>
  <c r="M60" i="9"/>
  <c r="P60" i="9" s="1"/>
  <c r="N60" i="9"/>
  <c r="O63" i="9"/>
  <c r="P63" i="9"/>
  <c r="L64" i="9"/>
  <c r="M64" i="9"/>
  <c r="N64" i="9"/>
  <c r="O66" i="9"/>
  <c r="P66" i="9"/>
  <c r="L67" i="9"/>
  <c r="M67" i="9"/>
  <c r="P67" i="9" s="1"/>
  <c r="N67" i="9"/>
  <c r="N65" i="9" s="1"/>
  <c r="L73" i="9"/>
  <c r="M73" i="9"/>
  <c r="P73" i="9" s="1"/>
  <c r="N73" i="9"/>
  <c r="O73" i="9"/>
  <c r="O76" i="9"/>
  <c r="P76" i="9"/>
  <c r="L77" i="9"/>
  <c r="L75" i="9" s="1"/>
  <c r="M77" i="9"/>
  <c r="M75" i="9" s="1"/>
  <c r="N77" i="9"/>
  <c r="O79" i="9"/>
  <c r="P79" i="9"/>
  <c r="L80" i="9"/>
  <c r="L78" i="9" s="1"/>
  <c r="O78" i="9" s="1"/>
  <c r="M80" i="9"/>
  <c r="M78" i="9" s="1"/>
  <c r="P78" i="9" s="1"/>
  <c r="N80" i="9"/>
  <c r="N78" i="9" s="1"/>
  <c r="J82" i="9"/>
  <c r="J70" i="9" s="1"/>
  <c r="J83" i="9"/>
  <c r="J71" i="9" s="1"/>
  <c r="I84" i="9"/>
  <c r="K84" i="9" s="1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O95" i="9"/>
  <c r="O98" i="9"/>
  <c r="P98" i="9"/>
  <c r="L99" i="9"/>
  <c r="L97" i="9" s="1"/>
  <c r="O97" i="9" s="1"/>
  <c r="M99" i="9"/>
  <c r="M97" i="9" s="1"/>
  <c r="P97" i="9" s="1"/>
  <c r="N99" i="9"/>
  <c r="N97" i="9" s="1"/>
  <c r="O101" i="9"/>
  <c r="P101" i="9"/>
  <c r="L102" i="9"/>
  <c r="O102" i="9" s="1"/>
  <c r="M102" i="9"/>
  <c r="M100" i="9" s="1"/>
  <c r="P100" i="9" s="1"/>
  <c r="N102" i="9"/>
  <c r="I108" i="9"/>
  <c r="I109" i="9"/>
  <c r="K109" i="9" s="1"/>
  <c r="I117" i="9"/>
  <c r="K117" i="9" s="1"/>
  <c r="L126" i="9"/>
  <c r="O126" i="9" s="1"/>
  <c r="M126" i="9"/>
  <c r="N126" i="9"/>
  <c r="O129" i="9"/>
  <c r="P129" i="9"/>
  <c r="L130" i="9"/>
  <c r="O130" i="9" s="1"/>
  <c r="M130" i="9"/>
  <c r="N130" i="9"/>
  <c r="O132" i="9"/>
  <c r="P132" i="9"/>
  <c r="L133" i="9"/>
  <c r="O133" i="9" s="1"/>
  <c r="M133" i="9"/>
  <c r="N133" i="9"/>
  <c r="N131" i="9" s="1"/>
  <c r="J136" i="9"/>
  <c r="J137" i="9"/>
  <c r="J138" i="9"/>
  <c r="L140" i="9"/>
  <c r="O140" i="9" s="1"/>
  <c r="M140" i="9"/>
  <c r="N140" i="9"/>
  <c r="O143" i="9"/>
  <c r="P143" i="9"/>
  <c r="L144" i="9"/>
  <c r="L142" i="9" s="1"/>
  <c r="M144" i="9"/>
  <c r="N144" i="9"/>
  <c r="O146" i="9"/>
  <c r="P146" i="9"/>
  <c r="L147" i="9"/>
  <c r="L145" i="9" s="1"/>
  <c r="O145" i="9" s="1"/>
  <c r="M147" i="9"/>
  <c r="N147" i="9"/>
  <c r="I150" i="9"/>
  <c r="K150" i="9" s="1"/>
  <c r="I151" i="9"/>
  <c r="K151" i="9" s="1"/>
  <c r="I152" i="9"/>
  <c r="I137" i="9" s="1"/>
  <c r="K137" i="9" s="1"/>
  <c r="I153" i="9"/>
  <c r="I138" i="9" s="1"/>
  <c r="K138" i="9" s="1"/>
  <c r="I154" i="9"/>
  <c r="I136" i="9" s="1"/>
  <c r="K136" i="9" s="1"/>
  <c r="J156" i="9"/>
  <c r="L158" i="9"/>
  <c r="O158" i="9" s="1"/>
  <c r="M158" i="9"/>
  <c r="N158" i="9"/>
  <c r="P158" i="9"/>
  <c r="O161" i="9"/>
  <c r="P161" i="9"/>
  <c r="L162" i="9"/>
  <c r="L160" i="9" s="1"/>
  <c r="O160" i="9" s="1"/>
  <c r="M162" i="9"/>
  <c r="M160" i="9" s="1"/>
  <c r="P160" i="9" s="1"/>
  <c r="N162" i="9"/>
  <c r="O164" i="9"/>
  <c r="P164" i="9"/>
  <c r="L165" i="9"/>
  <c r="L163" i="9" s="1"/>
  <c r="O163" i="9" s="1"/>
  <c r="M165" i="9"/>
  <c r="M163" i="9" s="1"/>
  <c r="P163" i="9" s="1"/>
  <c r="N165" i="9"/>
  <c r="N163" i="9" s="1"/>
  <c r="I167" i="9"/>
  <c r="K167" i="9" s="1"/>
  <c r="I168" i="9"/>
  <c r="K168" i="9" s="1"/>
  <c r="I169" i="9"/>
  <c r="I156" i="9" s="1"/>
  <c r="K156" i="9" s="1"/>
  <c r="J172" i="9"/>
  <c r="L174" i="9"/>
  <c r="M174" i="9"/>
  <c r="P174" i="9" s="1"/>
  <c r="N174" i="9"/>
  <c r="O174" i="9"/>
  <c r="O177" i="9"/>
  <c r="P177" i="9"/>
  <c r="L178" i="9"/>
  <c r="L176" i="9" s="1"/>
  <c r="O176" i="9" s="1"/>
  <c r="M178" i="9"/>
  <c r="M176" i="9" s="1"/>
  <c r="P176" i="9" s="1"/>
  <c r="N178" i="9"/>
  <c r="O180" i="9"/>
  <c r="P180" i="9"/>
  <c r="L181" i="9"/>
  <c r="L179" i="9" s="1"/>
  <c r="O179" i="9" s="1"/>
  <c r="M181" i="9"/>
  <c r="M179" i="9" s="1"/>
  <c r="P179" i="9" s="1"/>
  <c r="N181" i="9"/>
  <c r="N179" i="9" s="1"/>
  <c r="I183" i="9"/>
  <c r="I172" i="9" s="1"/>
  <c r="K172" i="9" s="1"/>
  <c r="K184" i="9"/>
  <c r="L187" i="9"/>
  <c r="M187" i="9"/>
  <c r="P187" i="9" s="1"/>
  <c r="N187" i="9"/>
  <c r="O190" i="9"/>
  <c r="P190" i="9"/>
  <c r="L191" i="9"/>
  <c r="M191" i="9"/>
  <c r="N191" i="9"/>
  <c r="N189" i="9" s="1"/>
  <c r="O193" i="9"/>
  <c r="P193" i="9"/>
  <c r="L194" i="9"/>
  <c r="M194" i="9"/>
  <c r="P194" i="9" s="1"/>
  <c r="N194" i="9"/>
  <c r="N192" i="9" s="1"/>
  <c r="J195" i="9"/>
  <c r="L196" i="9"/>
  <c r="O196" i="9" s="1"/>
  <c r="P196" i="9"/>
  <c r="I198" i="9"/>
  <c r="I195" i="9" s="1"/>
  <c r="J199" i="9"/>
  <c r="J202" i="9"/>
  <c r="N203" i="9"/>
  <c r="P203" i="9"/>
  <c r="L204" i="9"/>
  <c r="L205" i="9"/>
  <c r="L206" i="9"/>
  <c r="L207" i="9"/>
  <c r="I209" i="9"/>
  <c r="I211" i="9"/>
  <c r="K211" i="9" s="1"/>
  <c r="I212" i="9"/>
  <c r="K212" i="9" s="1"/>
  <c r="J213" i="9"/>
  <c r="N214" i="9"/>
  <c r="P214" i="9"/>
  <c r="L215" i="9"/>
  <c r="L216" i="9"/>
  <c r="L217" i="9"/>
  <c r="I219" i="9"/>
  <c r="K219" i="9" s="1"/>
  <c r="I220" i="9"/>
  <c r="K220" i="9" s="1"/>
  <c r="J221" i="9"/>
  <c r="N222" i="9"/>
  <c r="P222" i="9"/>
  <c r="L223" i="9"/>
  <c r="L224" i="9"/>
  <c r="L225" i="9"/>
  <c r="I228" i="9"/>
  <c r="K228" i="9" s="1"/>
  <c r="I229" i="9"/>
  <c r="I221" i="9" s="1"/>
  <c r="I230" i="9"/>
  <c r="K230" i="9" s="1"/>
  <c r="N233" i="9"/>
  <c r="N234" i="9"/>
  <c r="N235" i="9"/>
  <c r="N236" i="9"/>
  <c r="J238" i="9"/>
  <c r="I240" i="9"/>
  <c r="J240" i="9"/>
  <c r="K240" i="9"/>
  <c r="I241" i="9"/>
  <c r="K241" i="9" s="1"/>
  <c r="J241" i="9"/>
  <c r="J242" i="9"/>
  <c r="N243" i="9"/>
  <c r="P243" i="9"/>
  <c r="L244" i="9"/>
  <c r="L245" i="9"/>
  <c r="L246" i="9"/>
  <c r="L247" i="9"/>
  <c r="I249" i="9"/>
  <c r="K251" i="9"/>
  <c r="K252" i="9"/>
  <c r="J253" i="9"/>
  <c r="N254" i="9"/>
  <c r="P254" i="9"/>
  <c r="L255" i="9"/>
  <c r="L256" i="9"/>
  <c r="L257" i="9"/>
  <c r="L258" i="9"/>
  <c r="I260" i="9"/>
  <c r="K262" i="9"/>
  <c r="K263" i="9"/>
  <c r="I265" i="9"/>
  <c r="J265" i="9"/>
  <c r="K265" i="9"/>
  <c r="L267" i="9"/>
  <c r="O267" i="9" s="1"/>
  <c r="M267" i="9"/>
  <c r="P267" i="9" s="1"/>
  <c r="N267" i="9"/>
  <c r="O270" i="9"/>
  <c r="P270" i="9"/>
  <c r="L271" i="9"/>
  <c r="M271" i="9"/>
  <c r="M269" i="9" s="1"/>
  <c r="P269" i="9" s="1"/>
  <c r="N271" i="9"/>
  <c r="N269" i="9" s="1"/>
  <c r="O273" i="9"/>
  <c r="P273" i="9"/>
  <c r="L274" i="9"/>
  <c r="M274" i="9"/>
  <c r="M272" i="9" s="1"/>
  <c r="P272" i="9" s="1"/>
  <c r="N274" i="9"/>
  <c r="N272" i="9" s="1"/>
  <c r="J280" i="9"/>
  <c r="J281" i="9"/>
  <c r="L283" i="9"/>
  <c r="M283" i="9"/>
  <c r="P283" i="9" s="1"/>
  <c r="N283" i="9"/>
  <c r="O283" i="9"/>
  <c r="O286" i="9"/>
  <c r="P286" i="9"/>
  <c r="L287" i="9"/>
  <c r="L285" i="9" s="1"/>
  <c r="O285" i="9" s="1"/>
  <c r="M287" i="9"/>
  <c r="M285" i="9" s="1"/>
  <c r="P285" i="9" s="1"/>
  <c r="N287" i="9"/>
  <c r="N285" i="9" s="1"/>
  <c r="O289" i="9"/>
  <c r="P289" i="9"/>
  <c r="L290" i="9"/>
  <c r="L288" i="9" s="1"/>
  <c r="O288" i="9" s="1"/>
  <c r="M290" i="9"/>
  <c r="M288" i="9" s="1"/>
  <c r="P288" i="9" s="1"/>
  <c r="N290" i="9"/>
  <c r="N288" i="9" s="1"/>
  <c r="I292" i="9"/>
  <c r="I281" i="9" s="1"/>
  <c r="K281" i="9" s="1"/>
  <c r="I293" i="9"/>
  <c r="I280" i="9" s="1"/>
  <c r="K280" i="9" s="1"/>
  <c r="J293" i="9"/>
  <c r="I295" i="9"/>
  <c r="K295" i="9" s="1"/>
  <c r="I296" i="9"/>
  <c r="K296" i="9" s="1"/>
  <c r="J302" i="9"/>
  <c r="L304" i="9"/>
  <c r="O304" i="9" s="1"/>
  <c r="M304" i="9"/>
  <c r="P304" i="9" s="1"/>
  <c r="N304" i="9"/>
  <c r="O307" i="9"/>
  <c r="P307" i="9"/>
  <c r="L308" i="9"/>
  <c r="L306" i="9" s="1"/>
  <c r="M308" i="9"/>
  <c r="N308" i="9"/>
  <c r="O310" i="9"/>
  <c r="P310" i="9"/>
  <c r="L311" i="9"/>
  <c r="L309" i="9" s="1"/>
  <c r="O309" i="9" s="1"/>
  <c r="M311" i="9"/>
  <c r="M309" i="9" s="1"/>
  <c r="P309" i="9" s="1"/>
  <c r="N311" i="9"/>
  <c r="N309" i="9" s="1"/>
  <c r="I314" i="9"/>
  <c r="I302" i="9" s="1"/>
  <c r="K302" i="9" s="1"/>
  <c r="I315" i="9"/>
  <c r="K315" i="9" s="1"/>
  <c r="I316" i="9"/>
  <c r="K316" i="9" s="1"/>
  <c r="I317" i="9"/>
  <c r="K317" i="9" s="1"/>
  <c r="J319" i="9"/>
  <c r="L321" i="9"/>
  <c r="M321" i="9"/>
  <c r="P321" i="9" s="1"/>
  <c r="N321" i="9"/>
  <c r="O321" i="9"/>
  <c r="O324" i="9"/>
  <c r="P324" i="9"/>
  <c r="L325" i="9"/>
  <c r="O325" i="9" s="1"/>
  <c r="M325" i="9"/>
  <c r="M323" i="9" s="1"/>
  <c r="P323" i="9" s="1"/>
  <c r="N325" i="9"/>
  <c r="N323" i="9" s="1"/>
  <c r="O327" i="9"/>
  <c r="P327" i="9"/>
  <c r="L328" i="9"/>
  <c r="O328" i="9" s="1"/>
  <c r="M328" i="9"/>
  <c r="P328" i="9" s="1"/>
  <c r="N328" i="9"/>
  <c r="N326" i="9" s="1"/>
  <c r="I330" i="9"/>
  <c r="I319" i="9" s="1"/>
  <c r="K319" i="9" s="1"/>
  <c r="L334" i="9"/>
  <c r="O334" i="9" s="1"/>
  <c r="M334" i="9"/>
  <c r="N334" i="9"/>
  <c r="O337" i="9"/>
  <c r="P337" i="9"/>
  <c r="L338" i="9"/>
  <c r="L336" i="9" s="1"/>
  <c r="M338" i="9"/>
  <c r="N338" i="9"/>
  <c r="N336" i="9" s="1"/>
  <c r="O340" i="9"/>
  <c r="P340" i="9"/>
  <c r="L341" i="9"/>
  <c r="L339" i="9" s="1"/>
  <c r="O339" i="9" s="1"/>
  <c r="M341" i="9"/>
  <c r="M339" i="9" s="1"/>
  <c r="P339" i="9" s="1"/>
  <c r="N341" i="9"/>
  <c r="N339" i="9" s="1"/>
  <c r="I344" i="9"/>
  <c r="I332" i="9" s="1"/>
  <c r="J344" i="9"/>
  <c r="I346" i="9"/>
  <c r="J346" i="9"/>
  <c r="J347" i="9"/>
  <c r="J348" i="9"/>
  <c r="J349" i="9"/>
  <c r="D350" i="9"/>
  <c r="J352" i="9"/>
  <c r="J353" i="9"/>
  <c r="D354" i="9"/>
  <c r="L357" i="9"/>
  <c r="M357" i="9"/>
  <c r="P357" i="9" s="1"/>
  <c r="N357" i="9"/>
  <c r="O357" i="9"/>
  <c r="O360" i="9"/>
  <c r="P360" i="9"/>
  <c r="L361" i="9"/>
  <c r="M361" i="9"/>
  <c r="N361" i="9"/>
  <c r="N359" i="9" s="1"/>
  <c r="O363" i="9"/>
  <c r="P363" i="9"/>
  <c r="L364" i="9"/>
  <c r="L362" i="9" s="1"/>
  <c r="O362" i="9" s="1"/>
  <c r="M364" i="9"/>
  <c r="P364" i="9" s="1"/>
  <c r="N364" i="9"/>
  <c r="N362" i="9" s="1"/>
  <c r="J367" i="9"/>
  <c r="K367" i="9"/>
  <c r="I368" i="9"/>
  <c r="J368" i="9"/>
  <c r="I369" i="9"/>
  <c r="J369" i="9"/>
  <c r="J370" i="9"/>
  <c r="K370" i="9"/>
  <c r="I371" i="9"/>
  <c r="J371" i="9"/>
  <c r="J365" i="9" s="1"/>
  <c r="J372" i="9"/>
  <c r="K372" i="9"/>
  <c r="D373" i="9"/>
  <c r="I376" i="9"/>
  <c r="K376" i="9" s="1"/>
  <c r="J376" i="9"/>
  <c r="L378" i="9"/>
  <c r="O378" i="9" s="1"/>
  <c r="M378" i="9"/>
  <c r="N378" i="9"/>
  <c r="P378" i="9"/>
  <c r="O381" i="9"/>
  <c r="P381" i="9"/>
  <c r="L382" i="9"/>
  <c r="M382" i="9"/>
  <c r="M380" i="9" s="1"/>
  <c r="P380" i="9" s="1"/>
  <c r="N382" i="9"/>
  <c r="N380" i="9" s="1"/>
  <c r="O384" i="9"/>
  <c r="P384" i="9"/>
  <c r="L385" i="9"/>
  <c r="O385" i="9" s="1"/>
  <c r="M385" i="9"/>
  <c r="M383" i="9" s="1"/>
  <c r="P383" i="9" s="1"/>
  <c r="N385" i="9"/>
  <c r="N383" i="9" s="1"/>
  <c r="K387" i="9"/>
  <c r="K388" i="9"/>
  <c r="A391" i="9"/>
  <c r="L22" i="8"/>
  <c r="M22" i="8"/>
  <c r="N22" i="8"/>
  <c r="L25" i="8"/>
  <c r="O25" i="8" s="1"/>
  <c r="M25" i="8"/>
  <c r="N25" i="8"/>
  <c r="P25" i="8"/>
  <c r="L45" i="8"/>
  <c r="M45" i="8"/>
  <c r="P45" i="8" s="1"/>
  <c r="N45" i="8"/>
  <c r="O45" i="8"/>
  <c r="O48" i="8"/>
  <c r="P48" i="8"/>
  <c r="L49" i="8"/>
  <c r="L47" i="8" s="1"/>
  <c r="M49" i="8"/>
  <c r="M47" i="8" s="1"/>
  <c r="N49" i="8"/>
  <c r="N47" i="8" s="1"/>
  <c r="O51" i="8"/>
  <c r="P51" i="8"/>
  <c r="L52" i="8"/>
  <c r="L50" i="8" s="1"/>
  <c r="O50" i="8" s="1"/>
  <c r="M52" i="8"/>
  <c r="P52" i="8" s="1"/>
  <c r="N52" i="8"/>
  <c r="L60" i="8"/>
  <c r="M60" i="8"/>
  <c r="P60" i="8" s="1"/>
  <c r="N60" i="8"/>
  <c r="O63" i="8"/>
  <c r="P63" i="8"/>
  <c r="L64" i="8"/>
  <c r="M64" i="8"/>
  <c r="N64" i="8"/>
  <c r="N62" i="8" s="1"/>
  <c r="O66" i="8"/>
  <c r="P66" i="8"/>
  <c r="L67" i="8"/>
  <c r="M67" i="8"/>
  <c r="P67" i="8" s="1"/>
  <c r="N67" i="8"/>
  <c r="N65" i="8" s="1"/>
  <c r="L73" i="8"/>
  <c r="M73" i="8"/>
  <c r="P73" i="8" s="1"/>
  <c r="N73" i="8"/>
  <c r="O73" i="8"/>
  <c r="O76" i="8"/>
  <c r="P76" i="8"/>
  <c r="L77" i="8"/>
  <c r="L75" i="8" s="1"/>
  <c r="O75" i="8" s="1"/>
  <c r="M77" i="8"/>
  <c r="M75" i="8" s="1"/>
  <c r="P75" i="8" s="1"/>
  <c r="N77" i="8"/>
  <c r="N75" i="8" s="1"/>
  <c r="O79" i="8"/>
  <c r="P79" i="8"/>
  <c r="L80" i="8"/>
  <c r="L78" i="8" s="1"/>
  <c r="O78" i="8" s="1"/>
  <c r="M80" i="8"/>
  <c r="M78" i="8" s="1"/>
  <c r="P78" i="8" s="1"/>
  <c r="N80" i="8"/>
  <c r="N78" i="8" s="1"/>
  <c r="J82" i="8"/>
  <c r="J70" i="8" s="1"/>
  <c r="J83" i="8"/>
  <c r="J71" i="8" s="1"/>
  <c r="I84" i="8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O95" i="8" s="1"/>
  <c r="M95" i="8"/>
  <c r="N95" i="8"/>
  <c r="P95" i="8"/>
  <c r="O98" i="8"/>
  <c r="P98" i="8"/>
  <c r="L99" i="8"/>
  <c r="L97" i="8" s="1"/>
  <c r="O97" i="8" s="1"/>
  <c r="M99" i="8"/>
  <c r="N99" i="8"/>
  <c r="N97" i="8" s="1"/>
  <c r="O101" i="8"/>
  <c r="P101" i="8"/>
  <c r="L102" i="8"/>
  <c r="O102" i="8" s="1"/>
  <c r="M102" i="8"/>
  <c r="M100" i="8" s="1"/>
  <c r="P100" i="8" s="1"/>
  <c r="N102" i="8"/>
  <c r="N100" i="8" s="1"/>
  <c r="I108" i="8"/>
  <c r="I109" i="8"/>
  <c r="K109" i="8" s="1"/>
  <c r="I117" i="8"/>
  <c r="K117" i="8" s="1"/>
  <c r="L126" i="8"/>
  <c r="O126" i="8" s="1"/>
  <c r="M126" i="8"/>
  <c r="N126" i="8"/>
  <c r="O129" i="8"/>
  <c r="P129" i="8"/>
  <c r="L130" i="8"/>
  <c r="L128" i="8" s="1"/>
  <c r="O128" i="8" s="1"/>
  <c r="M130" i="8"/>
  <c r="N130" i="8"/>
  <c r="N128" i="8" s="1"/>
  <c r="O132" i="8"/>
  <c r="P132" i="8"/>
  <c r="L133" i="8"/>
  <c r="O133" i="8" s="1"/>
  <c r="M133" i="8"/>
  <c r="N133" i="8"/>
  <c r="N131" i="8" s="1"/>
  <c r="J136" i="8"/>
  <c r="J137" i="8"/>
  <c r="J138" i="8"/>
  <c r="L140" i="8"/>
  <c r="O140" i="8" s="1"/>
  <c r="M140" i="8"/>
  <c r="N140" i="8"/>
  <c r="O143" i="8"/>
  <c r="P143" i="8"/>
  <c r="L144" i="8"/>
  <c r="O144" i="8" s="1"/>
  <c r="M144" i="8"/>
  <c r="N144" i="8"/>
  <c r="N142" i="8" s="1"/>
  <c r="O146" i="8"/>
  <c r="P146" i="8"/>
  <c r="L147" i="8"/>
  <c r="O147" i="8" s="1"/>
  <c r="M147" i="8"/>
  <c r="N147" i="8"/>
  <c r="I150" i="8"/>
  <c r="K150" i="8" s="1"/>
  <c r="I151" i="8"/>
  <c r="K151" i="8" s="1"/>
  <c r="I152" i="8"/>
  <c r="K152" i="8" s="1"/>
  <c r="I153" i="8"/>
  <c r="I138" i="8" s="1"/>
  <c r="K138" i="8" s="1"/>
  <c r="I154" i="8"/>
  <c r="I136" i="8" s="1"/>
  <c r="K136" i="8" s="1"/>
  <c r="J156" i="8"/>
  <c r="L158" i="8"/>
  <c r="M158" i="8"/>
  <c r="P158" i="8" s="1"/>
  <c r="N158" i="8"/>
  <c r="O158" i="8"/>
  <c r="O161" i="8"/>
  <c r="P161" i="8"/>
  <c r="L162" i="8"/>
  <c r="L160" i="8" s="1"/>
  <c r="O160" i="8" s="1"/>
  <c r="M162" i="8"/>
  <c r="M160" i="8" s="1"/>
  <c r="P160" i="8" s="1"/>
  <c r="N162" i="8"/>
  <c r="N160" i="8" s="1"/>
  <c r="O164" i="8"/>
  <c r="P164" i="8"/>
  <c r="L165" i="8"/>
  <c r="L163" i="8" s="1"/>
  <c r="O163" i="8" s="1"/>
  <c r="M165" i="8"/>
  <c r="M163" i="8" s="1"/>
  <c r="P163" i="8" s="1"/>
  <c r="N165" i="8"/>
  <c r="N163" i="8" s="1"/>
  <c r="I167" i="8"/>
  <c r="K167" i="8" s="1"/>
  <c r="I168" i="8"/>
  <c r="K168" i="8" s="1"/>
  <c r="I169" i="8"/>
  <c r="I156" i="8" s="1"/>
  <c r="K156" i="8" s="1"/>
  <c r="J172" i="8"/>
  <c r="L174" i="8"/>
  <c r="M174" i="8"/>
  <c r="P174" i="8" s="1"/>
  <c r="N174" i="8"/>
  <c r="O174" i="8"/>
  <c r="O177" i="8"/>
  <c r="P177" i="8"/>
  <c r="L178" i="8"/>
  <c r="M178" i="8"/>
  <c r="M176" i="8" s="1"/>
  <c r="N178" i="8"/>
  <c r="N176" i="8" s="1"/>
  <c r="O180" i="8"/>
  <c r="P180" i="8"/>
  <c r="L181" i="8"/>
  <c r="L179" i="8" s="1"/>
  <c r="O179" i="8" s="1"/>
  <c r="M181" i="8"/>
  <c r="M179" i="8" s="1"/>
  <c r="P179" i="8" s="1"/>
  <c r="N181" i="8"/>
  <c r="N179" i="8" s="1"/>
  <c r="I183" i="8"/>
  <c r="I172" i="8" s="1"/>
  <c r="K184" i="8"/>
  <c r="L187" i="8"/>
  <c r="M187" i="8"/>
  <c r="N187" i="8"/>
  <c r="P187" i="8"/>
  <c r="O190" i="8"/>
  <c r="P190" i="8"/>
  <c r="L191" i="8"/>
  <c r="M191" i="8"/>
  <c r="M189" i="8" s="1"/>
  <c r="N191" i="8"/>
  <c r="O193" i="8"/>
  <c r="P193" i="8"/>
  <c r="L194" i="8"/>
  <c r="M194" i="8"/>
  <c r="P194" i="8" s="1"/>
  <c r="N194" i="8"/>
  <c r="N192" i="8" s="1"/>
  <c r="J195" i="8"/>
  <c r="L196" i="8"/>
  <c r="O196" i="8" s="1"/>
  <c r="P196" i="8"/>
  <c r="I198" i="8"/>
  <c r="I195" i="8" s="1"/>
  <c r="J199" i="8"/>
  <c r="J202" i="8"/>
  <c r="N203" i="8"/>
  <c r="P203" i="8"/>
  <c r="L204" i="8"/>
  <c r="L205" i="8"/>
  <c r="L206" i="8"/>
  <c r="L207" i="8"/>
  <c r="I209" i="8"/>
  <c r="I211" i="8"/>
  <c r="K211" i="8" s="1"/>
  <c r="I212" i="8"/>
  <c r="K212" i="8" s="1"/>
  <c r="J213" i="8"/>
  <c r="N214" i="8"/>
  <c r="P214" i="8"/>
  <c r="L215" i="8"/>
  <c r="L216" i="8"/>
  <c r="L217" i="8"/>
  <c r="I219" i="8"/>
  <c r="K219" i="8" s="1"/>
  <c r="I220" i="8"/>
  <c r="K220" i="8" s="1"/>
  <c r="J221" i="8"/>
  <c r="N222" i="8"/>
  <c r="P222" i="8"/>
  <c r="L223" i="8"/>
  <c r="L224" i="8"/>
  <c r="L225" i="8"/>
  <c r="I228" i="8"/>
  <c r="K228" i="8" s="1"/>
  <c r="I229" i="8"/>
  <c r="I221" i="8" s="1"/>
  <c r="K221" i="8" s="1"/>
  <c r="I230" i="8"/>
  <c r="K230" i="8" s="1"/>
  <c r="N233" i="8"/>
  <c r="N234" i="8"/>
  <c r="N235" i="8"/>
  <c r="N236" i="8"/>
  <c r="J238" i="8"/>
  <c r="I240" i="8"/>
  <c r="K240" i="8" s="1"/>
  <c r="J240" i="8"/>
  <c r="I241" i="8"/>
  <c r="K241" i="8" s="1"/>
  <c r="J241" i="8"/>
  <c r="J242" i="8"/>
  <c r="N243" i="8"/>
  <c r="P243" i="8"/>
  <c r="L244" i="8"/>
  <c r="L245" i="8"/>
  <c r="L246" i="8"/>
  <c r="L247" i="8"/>
  <c r="I249" i="8"/>
  <c r="K249" i="8" s="1"/>
  <c r="K251" i="8"/>
  <c r="K252" i="8"/>
  <c r="J253" i="8"/>
  <c r="N254" i="8"/>
  <c r="P254" i="8"/>
  <c r="L255" i="8"/>
  <c r="L256" i="8"/>
  <c r="L257" i="8"/>
  <c r="L258" i="8"/>
  <c r="I260" i="8"/>
  <c r="K262" i="8"/>
  <c r="K263" i="8"/>
  <c r="I265" i="8"/>
  <c r="J265" i="8"/>
  <c r="K265" i="8"/>
  <c r="L267" i="8"/>
  <c r="M267" i="8"/>
  <c r="P267" i="8" s="1"/>
  <c r="N267" i="8"/>
  <c r="O270" i="8"/>
  <c r="P270" i="8"/>
  <c r="L271" i="8"/>
  <c r="M271" i="8"/>
  <c r="P271" i="8" s="1"/>
  <c r="N271" i="8"/>
  <c r="N269" i="8" s="1"/>
  <c r="O273" i="8"/>
  <c r="P273" i="8"/>
  <c r="L274" i="8"/>
  <c r="M274" i="8"/>
  <c r="P274" i="8" s="1"/>
  <c r="N274" i="8"/>
  <c r="N272" i="8" s="1"/>
  <c r="J281" i="8"/>
  <c r="L283" i="8"/>
  <c r="M283" i="8"/>
  <c r="P283" i="8" s="1"/>
  <c r="N283" i="8"/>
  <c r="O283" i="8"/>
  <c r="O286" i="8"/>
  <c r="P286" i="8"/>
  <c r="L287" i="8"/>
  <c r="L285" i="8" s="1"/>
  <c r="O285" i="8" s="1"/>
  <c r="M287" i="8"/>
  <c r="M285" i="8" s="1"/>
  <c r="P285" i="8" s="1"/>
  <c r="N287" i="8"/>
  <c r="N285" i="8" s="1"/>
  <c r="O289" i="8"/>
  <c r="P289" i="8"/>
  <c r="L290" i="8"/>
  <c r="L288" i="8" s="1"/>
  <c r="O288" i="8" s="1"/>
  <c r="M290" i="8"/>
  <c r="M288" i="8" s="1"/>
  <c r="P288" i="8" s="1"/>
  <c r="N290" i="8"/>
  <c r="N288" i="8" s="1"/>
  <c r="I292" i="8"/>
  <c r="I281" i="8" s="1"/>
  <c r="K281" i="8" s="1"/>
  <c r="I293" i="8"/>
  <c r="I280" i="8" s="1"/>
  <c r="K280" i="8" s="1"/>
  <c r="J293" i="8"/>
  <c r="J280" i="8" s="1"/>
  <c r="I295" i="8"/>
  <c r="K295" i="8" s="1"/>
  <c r="I296" i="8"/>
  <c r="K296" i="8" s="1"/>
  <c r="J302" i="8"/>
  <c r="L304" i="8"/>
  <c r="M304" i="8"/>
  <c r="N304" i="8"/>
  <c r="P304" i="8"/>
  <c r="O307" i="8"/>
  <c r="P307" i="8"/>
  <c r="L308" i="8"/>
  <c r="M308" i="8"/>
  <c r="P308" i="8" s="1"/>
  <c r="N308" i="8"/>
  <c r="N306" i="8" s="1"/>
  <c r="O310" i="8"/>
  <c r="P310" i="8"/>
  <c r="L311" i="8"/>
  <c r="M311" i="8"/>
  <c r="P311" i="8" s="1"/>
  <c r="N311" i="8"/>
  <c r="N309" i="8" s="1"/>
  <c r="I314" i="8"/>
  <c r="I302" i="8" s="1"/>
  <c r="K302" i="8" s="1"/>
  <c r="I315" i="8"/>
  <c r="K315" i="8" s="1"/>
  <c r="I316" i="8"/>
  <c r="K316" i="8" s="1"/>
  <c r="I317" i="8"/>
  <c r="K317" i="8" s="1"/>
  <c r="J319" i="8"/>
  <c r="L321" i="8"/>
  <c r="O321" i="8" s="1"/>
  <c r="M321" i="8"/>
  <c r="N321" i="8"/>
  <c r="P321" i="8"/>
  <c r="O324" i="8"/>
  <c r="P324" i="8"/>
  <c r="L325" i="8"/>
  <c r="M325" i="8"/>
  <c r="M323" i="8" s="1"/>
  <c r="P323" i="8" s="1"/>
  <c r="N325" i="8"/>
  <c r="N323" i="8" s="1"/>
  <c r="O327" i="8"/>
  <c r="P327" i="8"/>
  <c r="L328" i="8"/>
  <c r="O328" i="8" s="1"/>
  <c r="M328" i="8"/>
  <c r="M326" i="8" s="1"/>
  <c r="P326" i="8" s="1"/>
  <c r="N328" i="8"/>
  <c r="N326" i="8" s="1"/>
  <c r="I330" i="8"/>
  <c r="K330" i="8" s="1"/>
  <c r="L334" i="8"/>
  <c r="M334" i="8"/>
  <c r="P334" i="8" s="1"/>
  <c r="N334" i="8"/>
  <c r="O334" i="8"/>
  <c r="O337" i="8"/>
  <c r="P337" i="8"/>
  <c r="L338" i="8"/>
  <c r="M338" i="8"/>
  <c r="N338" i="8"/>
  <c r="N336" i="8" s="1"/>
  <c r="O340" i="8"/>
  <c r="P340" i="8"/>
  <c r="L341" i="8"/>
  <c r="O341" i="8" s="1"/>
  <c r="M341" i="8"/>
  <c r="M339" i="8" s="1"/>
  <c r="P339" i="8" s="1"/>
  <c r="N341" i="8"/>
  <c r="I344" i="8"/>
  <c r="I332" i="8" s="1"/>
  <c r="J344" i="8"/>
  <c r="I346" i="8"/>
  <c r="J346" i="8"/>
  <c r="J347" i="8"/>
  <c r="J348" i="8"/>
  <c r="J349" i="8"/>
  <c r="D350" i="8"/>
  <c r="J352" i="8"/>
  <c r="J353" i="8"/>
  <c r="D354" i="8"/>
  <c r="L357" i="8"/>
  <c r="M357" i="8"/>
  <c r="N357" i="8"/>
  <c r="P357" i="8"/>
  <c r="O360" i="8"/>
  <c r="P360" i="8"/>
  <c r="L361" i="8"/>
  <c r="M361" i="8"/>
  <c r="M359" i="8" s="1"/>
  <c r="N361" i="8"/>
  <c r="N359" i="8" s="1"/>
  <c r="O363" i="8"/>
  <c r="P363" i="8"/>
  <c r="L364" i="8"/>
  <c r="L362" i="8" s="1"/>
  <c r="O362" i="8" s="1"/>
  <c r="M364" i="8"/>
  <c r="M362" i="8" s="1"/>
  <c r="P362" i="8" s="1"/>
  <c r="N364" i="8"/>
  <c r="N362" i="8" s="1"/>
  <c r="J367" i="8"/>
  <c r="K367" i="8"/>
  <c r="I368" i="8"/>
  <c r="J368" i="8"/>
  <c r="I369" i="8"/>
  <c r="J369" i="8"/>
  <c r="J370" i="8"/>
  <c r="K370" i="8"/>
  <c r="I371" i="8"/>
  <c r="I365" i="8" s="1"/>
  <c r="J371" i="8"/>
  <c r="J365" i="8" s="1"/>
  <c r="J372" i="8"/>
  <c r="K372" i="8"/>
  <c r="D373" i="8"/>
  <c r="I376" i="8"/>
  <c r="K376" i="8" s="1"/>
  <c r="J376" i="8"/>
  <c r="L378" i="8"/>
  <c r="M378" i="8"/>
  <c r="P378" i="8" s="1"/>
  <c r="N378" i="8"/>
  <c r="O378" i="8"/>
  <c r="O381" i="8"/>
  <c r="P381" i="8"/>
  <c r="L382" i="8"/>
  <c r="L380" i="8" s="1"/>
  <c r="O380" i="8" s="1"/>
  <c r="M382" i="8"/>
  <c r="N382" i="8"/>
  <c r="O384" i="8"/>
  <c r="P384" i="8"/>
  <c r="L385" i="8"/>
  <c r="L383" i="8" s="1"/>
  <c r="O383" i="8" s="1"/>
  <c r="M385" i="8"/>
  <c r="M383" i="8" s="1"/>
  <c r="P383" i="8" s="1"/>
  <c r="N385" i="8"/>
  <c r="N383" i="8" s="1"/>
  <c r="K387" i="8"/>
  <c r="K388" i="8"/>
  <c r="A391" i="8"/>
  <c r="L22" i="7"/>
  <c r="O22" i="7" s="1"/>
  <c r="M22" i="7"/>
  <c r="N22" i="7"/>
  <c r="L25" i="7"/>
  <c r="L19" i="7" s="1"/>
  <c r="O19" i="7" s="1"/>
  <c r="M25" i="7"/>
  <c r="N25" i="7"/>
  <c r="L45" i="7"/>
  <c r="M45" i="7"/>
  <c r="P45" i="7" s="1"/>
  <c r="N45" i="7"/>
  <c r="O45" i="7"/>
  <c r="O48" i="7"/>
  <c r="P48" i="7"/>
  <c r="L49" i="7"/>
  <c r="M49" i="7"/>
  <c r="M47" i="7" s="1"/>
  <c r="N49" i="7"/>
  <c r="O51" i="7"/>
  <c r="P51" i="7"/>
  <c r="L52" i="7"/>
  <c r="L50" i="7" s="1"/>
  <c r="O50" i="7" s="1"/>
  <c r="M52" i="7"/>
  <c r="P52" i="7" s="1"/>
  <c r="N52" i="7"/>
  <c r="N50" i="7" s="1"/>
  <c r="L60" i="7"/>
  <c r="M60" i="7"/>
  <c r="P60" i="7" s="1"/>
  <c r="N60" i="7"/>
  <c r="O63" i="7"/>
  <c r="P63" i="7"/>
  <c r="L64" i="7"/>
  <c r="M64" i="7"/>
  <c r="N64" i="7"/>
  <c r="N62" i="7" s="1"/>
  <c r="O66" i="7"/>
  <c r="P66" i="7"/>
  <c r="L67" i="7"/>
  <c r="L65" i="7" s="1"/>
  <c r="O65" i="7" s="1"/>
  <c r="M67" i="7"/>
  <c r="P67" i="7" s="1"/>
  <c r="N67" i="7"/>
  <c r="N65" i="7" s="1"/>
  <c r="L73" i="7"/>
  <c r="O73" i="7" s="1"/>
  <c r="M73" i="7"/>
  <c r="N73" i="7"/>
  <c r="P73" i="7"/>
  <c r="O76" i="7"/>
  <c r="P76" i="7"/>
  <c r="L77" i="7"/>
  <c r="L75" i="7" s="1"/>
  <c r="O75" i="7" s="1"/>
  <c r="M77" i="7"/>
  <c r="N77" i="7"/>
  <c r="N75" i="7" s="1"/>
  <c r="O79" i="7"/>
  <c r="P79" i="7"/>
  <c r="L80" i="7"/>
  <c r="L78" i="7" s="1"/>
  <c r="O78" i="7" s="1"/>
  <c r="M80" i="7"/>
  <c r="M78" i="7" s="1"/>
  <c r="P78" i="7" s="1"/>
  <c r="N80" i="7"/>
  <c r="N78" i="7" s="1"/>
  <c r="J82" i="7"/>
  <c r="J70" i="7" s="1"/>
  <c r="J83" i="7"/>
  <c r="J71" i="7" s="1"/>
  <c r="I84" i="7"/>
  <c r="K84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M95" i="7"/>
  <c r="P95" i="7" s="1"/>
  <c r="N95" i="7"/>
  <c r="O98" i="7"/>
  <c r="P98" i="7"/>
  <c r="L99" i="7"/>
  <c r="L97" i="7" s="1"/>
  <c r="O97" i="7" s="1"/>
  <c r="M99" i="7"/>
  <c r="M97" i="7" s="1"/>
  <c r="P97" i="7" s="1"/>
  <c r="N99" i="7"/>
  <c r="N97" i="7" s="1"/>
  <c r="O101" i="7"/>
  <c r="P101" i="7"/>
  <c r="L102" i="7"/>
  <c r="O102" i="7" s="1"/>
  <c r="M102" i="7"/>
  <c r="M100" i="7" s="1"/>
  <c r="P100" i="7" s="1"/>
  <c r="N102" i="7"/>
  <c r="N100" i="7" s="1"/>
  <c r="I108" i="7"/>
  <c r="I109" i="7"/>
  <c r="K109" i="7" s="1"/>
  <c r="I117" i="7"/>
  <c r="K117" i="7" s="1"/>
  <c r="L126" i="7"/>
  <c r="O126" i="7" s="1"/>
  <c r="M126" i="7"/>
  <c r="N126" i="7"/>
  <c r="O129" i="7"/>
  <c r="P129" i="7"/>
  <c r="L130" i="7"/>
  <c r="L128" i="7" s="1"/>
  <c r="O128" i="7" s="1"/>
  <c r="M130" i="7"/>
  <c r="M128" i="7" s="1"/>
  <c r="P128" i="7" s="1"/>
  <c r="N130" i="7"/>
  <c r="N128" i="7" s="1"/>
  <c r="O132" i="7"/>
  <c r="P132" i="7"/>
  <c r="L133" i="7"/>
  <c r="L131" i="7" s="1"/>
  <c r="O131" i="7" s="1"/>
  <c r="M133" i="7"/>
  <c r="M131" i="7" s="1"/>
  <c r="P131" i="7" s="1"/>
  <c r="N133" i="7"/>
  <c r="J136" i="7"/>
  <c r="J137" i="7"/>
  <c r="J138" i="7"/>
  <c r="L140" i="7"/>
  <c r="O140" i="7" s="1"/>
  <c r="M140" i="7"/>
  <c r="N140" i="7"/>
  <c r="O143" i="7"/>
  <c r="P143" i="7"/>
  <c r="L144" i="7"/>
  <c r="M144" i="7"/>
  <c r="M142" i="7" s="1"/>
  <c r="P142" i="7" s="1"/>
  <c r="N144" i="7"/>
  <c r="N142" i="7" s="1"/>
  <c r="O146" i="7"/>
  <c r="P146" i="7"/>
  <c r="L147" i="7"/>
  <c r="M147" i="7"/>
  <c r="M145" i="7" s="1"/>
  <c r="P145" i="7" s="1"/>
  <c r="N147" i="7"/>
  <c r="N145" i="7" s="1"/>
  <c r="I150" i="7"/>
  <c r="K150" i="7" s="1"/>
  <c r="I151" i="7"/>
  <c r="K151" i="7" s="1"/>
  <c r="I152" i="7"/>
  <c r="I137" i="7" s="1"/>
  <c r="K137" i="7" s="1"/>
  <c r="I153" i="7"/>
  <c r="I138" i="7" s="1"/>
  <c r="K138" i="7" s="1"/>
  <c r="I154" i="7"/>
  <c r="I136" i="7" s="1"/>
  <c r="K136" i="7" s="1"/>
  <c r="J156" i="7"/>
  <c r="L158" i="7"/>
  <c r="O158" i="7" s="1"/>
  <c r="M158" i="7"/>
  <c r="N158" i="7"/>
  <c r="P158" i="7"/>
  <c r="O161" i="7"/>
  <c r="P161" i="7"/>
  <c r="L162" i="7"/>
  <c r="L160" i="7" s="1"/>
  <c r="O160" i="7" s="1"/>
  <c r="M162" i="7"/>
  <c r="N162" i="7"/>
  <c r="O164" i="7"/>
  <c r="P164" i="7"/>
  <c r="L165" i="7"/>
  <c r="L163" i="7" s="1"/>
  <c r="O163" i="7" s="1"/>
  <c r="M165" i="7"/>
  <c r="M163" i="7" s="1"/>
  <c r="P163" i="7" s="1"/>
  <c r="N165" i="7"/>
  <c r="N163" i="7" s="1"/>
  <c r="I167" i="7"/>
  <c r="K167" i="7" s="1"/>
  <c r="I168" i="7"/>
  <c r="K168" i="7" s="1"/>
  <c r="I169" i="7"/>
  <c r="I156" i="7" s="1"/>
  <c r="K156" i="7" s="1"/>
  <c r="J172" i="7"/>
  <c r="L174" i="7"/>
  <c r="O174" i="7" s="1"/>
  <c r="M174" i="7"/>
  <c r="N174" i="7"/>
  <c r="P174" i="7"/>
  <c r="O177" i="7"/>
  <c r="P177" i="7"/>
  <c r="L178" i="7"/>
  <c r="L176" i="7" s="1"/>
  <c r="M178" i="7"/>
  <c r="M176" i="7" s="1"/>
  <c r="N178" i="7"/>
  <c r="N176" i="7" s="1"/>
  <c r="O180" i="7"/>
  <c r="P180" i="7"/>
  <c r="L181" i="7"/>
  <c r="L179" i="7" s="1"/>
  <c r="O179" i="7" s="1"/>
  <c r="M181" i="7"/>
  <c r="M179" i="7" s="1"/>
  <c r="P179" i="7" s="1"/>
  <c r="N181" i="7"/>
  <c r="N179" i="7" s="1"/>
  <c r="I183" i="7"/>
  <c r="I172" i="7" s="1"/>
  <c r="K184" i="7"/>
  <c r="L187" i="7"/>
  <c r="M187" i="7"/>
  <c r="P187" i="7" s="1"/>
  <c r="N187" i="7"/>
  <c r="O190" i="7"/>
  <c r="P190" i="7"/>
  <c r="L191" i="7"/>
  <c r="L189" i="7" s="1"/>
  <c r="M191" i="7"/>
  <c r="N191" i="7"/>
  <c r="N189" i="7" s="1"/>
  <c r="O193" i="7"/>
  <c r="P193" i="7"/>
  <c r="L194" i="7"/>
  <c r="L192" i="7" s="1"/>
  <c r="O192" i="7" s="1"/>
  <c r="M194" i="7"/>
  <c r="P194" i="7" s="1"/>
  <c r="N194" i="7"/>
  <c r="N192" i="7" s="1"/>
  <c r="J195" i="7"/>
  <c r="L196" i="7"/>
  <c r="O196" i="7" s="1"/>
  <c r="P196" i="7"/>
  <c r="I198" i="7"/>
  <c r="I195" i="7" s="1"/>
  <c r="J199" i="7"/>
  <c r="J202" i="7"/>
  <c r="N203" i="7"/>
  <c r="P203" i="7"/>
  <c r="L204" i="7"/>
  <c r="L205" i="7"/>
  <c r="L206" i="7"/>
  <c r="L207" i="7"/>
  <c r="I209" i="7"/>
  <c r="I211" i="7"/>
  <c r="K211" i="7" s="1"/>
  <c r="I212" i="7"/>
  <c r="K212" i="7" s="1"/>
  <c r="J213" i="7"/>
  <c r="N214" i="7"/>
  <c r="P214" i="7"/>
  <c r="L215" i="7"/>
  <c r="L216" i="7"/>
  <c r="L217" i="7"/>
  <c r="I219" i="7"/>
  <c r="K219" i="7" s="1"/>
  <c r="I220" i="7"/>
  <c r="K220" i="7" s="1"/>
  <c r="J221" i="7"/>
  <c r="N222" i="7"/>
  <c r="P222" i="7"/>
  <c r="L223" i="7"/>
  <c r="L224" i="7"/>
  <c r="L225" i="7"/>
  <c r="I228" i="7"/>
  <c r="K228" i="7" s="1"/>
  <c r="I229" i="7"/>
  <c r="K229" i="7" s="1"/>
  <c r="I230" i="7"/>
  <c r="K230" i="7" s="1"/>
  <c r="N233" i="7"/>
  <c r="N234" i="7"/>
  <c r="N235" i="7"/>
  <c r="N236" i="7"/>
  <c r="J238" i="7"/>
  <c r="I240" i="7"/>
  <c r="J240" i="7"/>
  <c r="K240" i="7"/>
  <c r="I241" i="7"/>
  <c r="J241" i="7"/>
  <c r="K241" i="7"/>
  <c r="J242" i="7"/>
  <c r="J231" i="7" s="1"/>
  <c r="J185" i="7" s="1"/>
  <c r="N243" i="7"/>
  <c r="P243" i="7"/>
  <c r="L244" i="7"/>
  <c r="L245" i="7"/>
  <c r="L246" i="7"/>
  <c r="L247" i="7"/>
  <c r="I249" i="7"/>
  <c r="K251" i="7"/>
  <c r="K252" i="7"/>
  <c r="J253" i="7"/>
  <c r="N254" i="7"/>
  <c r="P254" i="7"/>
  <c r="L255" i="7"/>
  <c r="L256" i="7"/>
  <c r="L257" i="7"/>
  <c r="L258" i="7"/>
  <c r="I260" i="7"/>
  <c r="K262" i="7"/>
  <c r="K263" i="7"/>
  <c r="I265" i="7"/>
  <c r="K265" i="7" s="1"/>
  <c r="J265" i="7"/>
  <c r="L267" i="7"/>
  <c r="M267" i="7"/>
  <c r="P267" i="7" s="1"/>
  <c r="N267" i="7"/>
  <c r="O270" i="7"/>
  <c r="P270" i="7"/>
  <c r="L271" i="7"/>
  <c r="L269" i="7" s="1"/>
  <c r="O269" i="7" s="1"/>
  <c r="M271" i="7"/>
  <c r="P271" i="7" s="1"/>
  <c r="N271" i="7"/>
  <c r="O273" i="7"/>
  <c r="P273" i="7"/>
  <c r="L274" i="7"/>
  <c r="L272" i="7" s="1"/>
  <c r="O272" i="7" s="1"/>
  <c r="M274" i="7"/>
  <c r="P274" i="7" s="1"/>
  <c r="N274" i="7"/>
  <c r="N272" i="7" s="1"/>
  <c r="J281" i="7"/>
  <c r="L283" i="7"/>
  <c r="M283" i="7"/>
  <c r="P283" i="7" s="1"/>
  <c r="N283" i="7"/>
  <c r="O283" i="7"/>
  <c r="O286" i="7"/>
  <c r="P286" i="7"/>
  <c r="L287" i="7"/>
  <c r="L285" i="7" s="1"/>
  <c r="O285" i="7" s="1"/>
  <c r="M287" i="7"/>
  <c r="N287" i="7"/>
  <c r="O289" i="7"/>
  <c r="P289" i="7"/>
  <c r="L290" i="7"/>
  <c r="L288" i="7" s="1"/>
  <c r="O288" i="7" s="1"/>
  <c r="M290" i="7"/>
  <c r="M288" i="7" s="1"/>
  <c r="P288" i="7" s="1"/>
  <c r="N290" i="7"/>
  <c r="N288" i="7" s="1"/>
  <c r="I292" i="7"/>
  <c r="I281" i="7" s="1"/>
  <c r="K281" i="7" s="1"/>
  <c r="I293" i="7"/>
  <c r="I280" i="7" s="1"/>
  <c r="K280" i="7" s="1"/>
  <c r="J293" i="7"/>
  <c r="J280" i="7" s="1"/>
  <c r="I295" i="7"/>
  <c r="K295" i="7" s="1"/>
  <c r="I296" i="7"/>
  <c r="K296" i="7" s="1"/>
  <c r="J302" i="7"/>
  <c r="L304" i="7"/>
  <c r="M304" i="7"/>
  <c r="P304" i="7" s="1"/>
  <c r="N304" i="7"/>
  <c r="O307" i="7"/>
  <c r="P307" i="7"/>
  <c r="L308" i="7"/>
  <c r="L306" i="7" s="1"/>
  <c r="O306" i="7" s="1"/>
  <c r="M308" i="7"/>
  <c r="P308" i="7" s="1"/>
  <c r="N308" i="7"/>
  <c r="N306" i="7" s="1"/>
  <c r="O310" i="7"/>
  <c r="P310" i="7"/>
  <c r="L311" i="7"/>
  <c r="L309" i="7" s="1"/>
  <c r="O309" i="7" s="1"/>
  <c r="M311" i="7"/>
  <c r="P311" i="7" s="1"/>
  <c r="N311" i="7"/>
  <c r="N309" i="7" s="1"/>
  <c r="I314" i="7"/>
  <c r="I302" i="7" s="1"/>
  <c r="K302" i="7" s="1"/>
  <c r="I315" i="7"/>
  <c r="K315" i="7" s="1"/>
  <c r="I316" i="7"/>
  <c r="K316" i="7" s="1"/>
  <c r="I317" i="7"/>
  <c r="K317" i="7" s="1"/>
  <c r="J319" i="7"/>
  <c r="L321" i="7"/>
  <c r="O321" i="7" s="1"/>
  <c r="M321" i="7"/>
  <c r="P321" i="7" s="1"/>
  <c r="N321" i="7"/>
  <c r="O324" i="7"/>
  <c r="P324" i="7"/>
  <c r="L325" i="7"/>
  <c r="L323" i="7" s="1"/>
  <c r="O323" i="7" s="1"/>
  <c r="M325" i="7"/>
  <c r="M323" i="7" s="1"/>
  <c r="P323" i="7" s="1"/>
  <c r="N325" i="7"/>
  <c r="N323" i="7" s="1"/>
  <c r="O327" i="7"/>
  <c r="P327" i="7"/>
  <c r="L328" i="7"/>
  <c r="O328" i="7" s="1"/>
  <c r="M328" i="7"/>
  <c r="M326" i="7" s="1"/>
  <c r="P326" i="7" s="1"/>
  <c r="N328" i="7"/>
  <c r="N326" i="7" s="1"/>
  <c r="I330" i="7"/>
  <c r="K330" i="7" s="1"/>
  <c r="L334" i="7"/>
  <c r="O334" i="7" s="1"/>
  <c r="M334" i="7"/>
  <c r="N334" i="7"/>
  <c r="P334" i="7"/>
  <c r="O337" i="7"/>
  <c r="P337" i="7"/>
  <c r="L338" i="7"/>
  <c r="L336" i="7" s="1"/>
  <c r="M338" i="7"/>
  <c r="N338" i="7"/>
  <c r="O340" i="7"/>
  <c r="P340" i="7"/>
  <c r="L341" i="7"/>
  <c r="L339" i="7" s="1"/>
  <c r="O339" i="7" s="1"/>
  <c r="M341" i="7"/>
  <c r="M339" i="7" s="1"/>
  <c r="P339" i="7" s="1"/>
  <c r="N341" i="7"/>
  <c r="N339" i="7" s="1"/>
  <c r="I344" i="7"/>
  <c r="I332" i="7" s="1"/>
  <c r="J344" i="7"/>
  <c r="I346" i="7"/>
  <c r="J346" i="7"/>
  <c r="J347" i="7"/>
  <c r="J348" i="7"/>
  <c r="J349" i="7"/>
  <c r="D350" i="7"/>
  <c r="J352" i="7"/>
  <c r="J353" i="7"/>
  <c r="D354" i="7"/>
  <c r="L357" i="7"/>
  <c r="O357" i="7" s="1"/>
  <c r="M357" i="7"/>
  <c r="N357" i="7"/>
  <c r="P357" i="7"/>
  <c r="O360" i="7"/>
  <c r="P360" i="7"/>
  <c r="L361" i="7"/>
  <c r="L359" i="7" s="1"/>
  <c r="M361" i="7"/>
  <c r="M359" i="7" s="1"/>
  <c r="N361" i="7"/>
  <c r="N359" i="7" s="1"/>
  <c r="O363" i="7"/>
  <c r="P363" i="7"/>
  <c r="L364" i="7"/>
  <c r="O364" i="7" s="1"/>
  <c r="M364" i="7"/>
  <c r="M362" i="7" s="1"/>
  <c r="P362" i="7" s="1"/>
  <c r="N364" i="7"/>
  <c r="N362" i="7" s="1"/>
  <c r="J367" i="7"/>
  <c r="K367" i="7"/>
  <c r="I368" i="7"/>
  <c r="J368" i="7"/>
  <c r="I369" i="7"/>
  <c r="J369" i="7"/>
  <c r="J370" i="7"/>
  <c r="K370" i="7"/>
  <c r="I371" i="7"/>
  <c r="I365" i="7" s="1"/>
  <c r="J371" i="7"/>
  <c r="J365" i="7" s="1"/>
  <c r="J372" i="7"/>
  <c r="K372" i="7"/>
  <c r="D373" i="7"/>
  <c r="I376" i="7"/>
  <c r="J376" i="7"/>
  <c r="K376" i="7"/>
  <c r="L378" i="7"/>
  <c r="M378" i="7"/>
  <c r="P378" i="7" s="1"/>
  <c r="N378" i="7"/>
  <c r="O378" i="7"/>
  <c r="O381" i="7"/>
  <c r="P381" i="7"/>
  <c r="L382" i="7"/>
  <c r="L380" i="7" s="1"/>
  <c r="O380" i="7" s="1"/>
  <c r="M382" i="7"/>
  <c r="M380" i="7" s="1"/>
  <c r="P380" i="7" s="1"/>
  <c r="N382" i="7"/>
  <c r="N380" i="7" s="1"/>
  <c r="O384" i="7"/>
  <c r="P384" i="7"/>
  <c r="L385" i="7"/>
  <c r="L383" i="7" s="1"/>
  <c r="O383" i="7" s="1"/>
  <c r="M385" i="7"/>
  <c r="M383" i="7" s="1"/>
  <c r="P383" i="7" s="1"/>
  <c r="N385" i="7"/>
  <c r="N383" i="7" s="1"/>
  <c r="K387" i="7"/>
  <c r="K388" i="7"/>
  <c r="A391" i="7"/>
  <c r="L22" i="6"/>
  <c r="L19" i="6" s="1"/>
  <c r="M22" i="6"/>
  <c r="N22" i="6"/>
  <c r="L25" i="6"/>
  <c r="M25" i="6"/>
  <c r="P25" i="6" s="1"/>
  <c r="N25" i="6"/>
  <c r="O25" i="6"/>
  <c r="L45" i="6"/>
  <c r="O45" i="6" s="1"/>
  <c r="M45" i="6"/>
  <c r="P45" i="6" s="1"/>
  <c r="N45" i="6"/>
  <c r="O48" i="6"/>
  <c r="P48" i="6"/>
  <c r="L49" i="6"/>
  <c r="L47" i="6" s="1"/>
  <c r="M49" i="6"/>
  <c r="M47" i="6" s="1"/>
  <c r="N49" i="6"/>
  <c r="N47" i="6" s="1"/>
  <c r="O51" i="6"/>
  <c r="P51" i="6"/>
  <c r="L52" i="6"/>
  <c r="L50" i="6" s="1"/>
  <c r="O50" i="6" s="1"/>
  <c r="M52" i="6"/>
  <c r="P52" i="6" s="1"/>
  <c r="N52" i="6"/>
  <c r="L60" i="6"/>
  <c r="M60" i="6"/>
  <c r="N60" i="6"/>
  <c r="P60" i="6"/>
  <c r="O63" i="6"/>
  <c r="P63" i="6"/>
  <c r="L64" i="6"/>
  <c r="M64" i="6"/>
  <c r="N64" i="6"/>
  <c r="N62" i="6" s="1"/>
  <c r="O66" i="6"/>
  <c r="P66" i="6"/>
  <c r="L67" i="6"/>
  <c r="M67" i="6"/>
  <c r="P67" i="6" s="1"/>
  <c r="N67" i="6"/>
  <c r="N65" i="6" s="1"/>
  <c r="J70" i="6"/>
  <c r="L73" i="6"/>
  <c r="M73" i="6"/>
  <c r="P73" i="6" s="1"/>
  <c r="N73" i="6"/>
  <c r="O73" i="6"/>
  <c r="O76" i="6"/>
  <c r="P76" i="6"/>
  <c r="L77" i="6"/>
  <c r="M77" i="6"/>
  <c r="M75" i="6" s="1"/>
  <c r="P75" i="6" s="1"/>
  <c r="N77" i="6"/>
  <c r="N75" i="6" s="1"/>
  <c r="O79" i="6"/>
  <c r="P79" i="6"/>
  <c r="L80" i="6"/>
  <c r="O80" i="6" s="1"/>
  <c r="M80" i="6"/>
  <c r="M78" i="6" s="1"/>
  <c r="P78" i="6" s="1"/>
  <c r="N80" i="6"/>
  <c r="N78" i="6" s="1"/>
  <c r="J82" i="6"/>
  <c r="J83" i="6"/>
  <c r="J71" i="6" s="1"/>
  <c r="I84" i="6"/>
  <c r="I85" i="6"/>
  <c r="K85" i="6" s="1"/>
  <c r="I86" i="6"/>
  <c r="K86" i="6" s="1"/>
  <c r="I87" i="6"/>
  <c r="K87" i="6" s="1"/>
  <c r="I88" i="6"/>
  <c r="K88" i="6" s="1"/>
  <c r="I89" i="6"/>
  <c r="I90" i="6"/>
  <c r="K90" i="6" s="1"/>
  <c r="J92" i="6"/>
  <c r="J93" i="6"/>
  <c r="L95" i="6"/>
  <c r="O95" i="6" s="1"/>
  <c r="M95" i="6"/>
  <c r="N95" i="6"/>
  <c r="P95" i="6"/>
  <c r="O98" i="6"/>
  <c r="P98" i="6"/>
  <c r="L99" i="6"/>
  <c r="L97" i="6" s="1"/>
  <c r="O97" i="6" s="1"/>
  <c r="M99" i="6"/>
  <c r="N99" i="6"/>
  <c r="N97" i="6" s="1"/>
  <c r="O101" i="6"/>
  <c r="P101" i="6"/>
  <c r="L102" i="6"/>
  <c r="L100" i="6" s="1"/>
  <c r="O100" i="6" s="1"/>
  <c r="M102" i="6"/>
  <c r="P102" i="6" s="1"/>
  <c r="N102" i="6"/>
  <c r="N100" i="6" s="1"/>
  <c r="I108" i="6"/>
  <c r="I109" i="6"/>
  <c r="I93" i="6" s="1"/>
  <c r="K93" i="6" s="1"/>
  <c r="I117" i="6"/>
  <c r="K117" i="6" s="1"/>
  <c r="L126" i="6"/>
  <c r="O126" i="6" s="1"/>
  <c r="M126" i="6"/>
  <c r="N126" i="6"/>
  <c r="O129" i="6"/>
  <c r="P129" i="6"/>
  <c r="L130" i="6"/>
  <c r="O130" i="6" s="1"/>
  <c r="M130" i="6"/>
  <c r="N130" i="6"/>
  <c r="O132" i="6"/>
  <c r="P132" i="6"/>
  <c r="L133" i="6"/>
  <c r="M133" i="6"/>
  <c r="P133" i="6" s="1"/>
  <c r="N133" i="6"/>
  <c r="N131" i="6" s="1"/>
  <c r="J136" i="6"/>
  <c r="J137" i="6"/>
  <c r="J138" i="6"/>
  <c r="L140" i="6"/>
  <c r="O140" i="6" s="1"/>
  <c r="M140" i="6"/>
  <c r="N140" i="6"/>
  <c r="O143" i="6"/>
  <c r="P143" i="6"/>
  <c r="L144" i="6"/>
  <c r="M144" i="6"/>
  <c r="P144" i="6" s="1"/>
  <c r="N144" i="6"/>
  <c r="N142" i="6" s="1"/>
  <c r="O146" i="6"/>
  <c r="P146" i="6"/>
  <c r="L147" i="6"/>
  <c r="M147" i="6"/>
  <c r="P147" i="6" s="1"/>
  <c r="N147" i="6"/>
  <c r="N145" i="6" s="1"/>
  <c r="I150" i="6"/>
  <c r="K150" i="6" s="1"/>
  <c r="I151" i="6"/>
  <c r="K151" i="6" s="1"/>
  <c r="I152" i="6"/>
  <c r="K152" i="6" s="1"/>
  <c r="I153" i="6"/>
  <c r="I138" i="6" s="1"/>
  <c r="K138" i="6" s="1"/>
  <c r="I154" i="6"/>
  <c r="I136" i="6" s="1"/>
  <c r="K136" i="6" s="1"/>
  <c r="J156" i="6"/>
  <c r="L158" i="6"/>
  <c r="M158" i="6"/>
  <c r="P158" i="6" s="1"/>
  <c r="N158" i="6"/>
  <c r="O158" i="6"/>
  <c r="O161" i="6"/>
  <c r="P161" i="6"/>
  <c r="L162" i="6"/>
  <c r="M162" i="6"/>
  <c r="M160" i="6" s="1"/>
  <c r="P160" i="6" s="1"/>
  <c r="N162" i="6"/>
  <c r="N160" i="6" s="1"/>
  <c r="O164" i="6"/>
  <c r="P164" i="6"/>
  <c r="L165" i="6"/>
  <c r="L163" i="6" s="1"/>
  <c r="O163" i="6" s="1"/>
  <c r="M165" i="6"/>
  <c r="M163" i="6" s="1"/>
  <c r="P163" i="6" s="1"/>
  <c r="N165" i="6"/>
  <c r="N163" i="6" s="1"/>
  <c r="I167" i="6"/>
  <c r="K167" i="6" s="1"/>
  <c r="I168" i="6"/>
  <c r="K168" i="6" s="1"/>
  <c r="I169" i="6"/>
  <c r="I156" i="6" s="1"/>
  <c r="K156" i="6" s="1"/>
  <c r="J172" i="6"/>
  <c r="L174" i="6"/>
  <c r="M174" i="6"/>
  <c r="P174" i="6" s="1"/>
  <c r="N174" i="6"/>
  <c r="O177" i="6"/>
  <c r="P177" i="6"/>
  <c r="L178" i="6"/>
  <c r="L176" i="6" s="1"/>
  <c r="M178" i="6"/>
  <c r="M176" i="6" s="1"/>
  <c r="N178" i="6"/>
  <c r="O180" i="6"/>
  <c r="P180" i="6"/>
  <c r="L181" i="6"/>
  <c r="O181" i="6" s="1"/>
  <c r="M181" i="6"/>
  <c r="M179" i="6" s="1"/>
  <c r="P179" i="6" s="1"/>
  <c r="N181" i="6"/>
  <c r="N179" i="6" s="1"/>
  <c r="I183" i="6"/>
  <c r="I172" i="6" s="1"/>
  <c r="K172" i="6" s="1"/>
  <c r="K184" i="6"/>
  <c r="L187" i="6"/>
  <c r="M187" i="6"/>
  <c r="P187" i="6" s="1"/>
  <c r="N187" i="6"/>
  <c r="O187" i="6"/>
  <c r="O190" i="6"/>
  <c r="P190" i="6"/>
  <c r="L191" i="6"/>
  <c r="M191" i="6"/>
  <c r="M189" i="6" s="1"/>
  <c r="N191" i="6"/>
  <c r="N189" i="6" s="1"/>
  <c r="O193" i="6"/>
  <c r="P193" i="6"/>
  <c r="L194" i="6"/>
  <c r="O194" i="6" s="1"/>
  <c r="M194" i="6"/>
  <c r="P194" i="6" s="1"/>
  <c r="N194" i="6"/>
  <c r="N192" i="6" s="1"/>
  <c r="J195" i="6"/>
  <c r="L196" i="6"/>
  <c r="O196" i="6" s="1"/>
  <c r="P196" i="6"/>
  <c r="I198" i="6"/>
  <c r="I195" i="6" s="1"/>
  <c r="K195" i="6" s="1"/>
  <c r="J199" i="6"/>
  <c r="J202" i="6"/>
  <c r="N203" i="6"/>
  <c r="P203" i="6"/>
  <c r="L204" i="6"/>
  <c r="L205" i="6"/>
  <c r="L206" i="6"/>
  <c r="L207" i="6"/>
  <c r="I209" i="6"/>
  <c r="I211" i="6"/>
  <c r="K211" i="6" s="1"/>
  <c r="I212" i="6"/>
  <c r="K212" i="6" s="1"/>
  <c r="J213" i="6"/>
  <c r="N214" i="6"/>
  <c r="P214" i="6"/>
  <c r="L215" i="6"/>
  <c r="L216" i="6"/>
  <c r="L217" i="6"/>
  <c r="I219" i="6"/>
  <c r="K219" i="6" s="1"/>
  <c r="I220" i="6"/>
  <c r="K220" i="6" s="1"/>
  <c r="J221" i="6"/>
  <c r="N222" i="6"/>
  <c r="P222" i="6"/>
  <c r="L223" i="6"/>
  <c r="L224" i="6"/>
  <c r="L225" i="6"/>
  <c r="I228" i="6"/>
  <c r="K228" i="6" s="1"/>
  <c r="I229" i="6"/>
  <c r="I221" i="6" s="1"/>
  <c r="K221" i="6" s="1"/>
  <c r="I230" i="6"/>
  <c r="K230" i="6" s="1"/>
  <c r="N232" i="6"/>
  <c r="N233" i="6"/>
  <c r="N234" i="6"/>
  <c r="N235" i="6"/>
  <c r="N236" i="6"/>
  <c r="J238" i="6"/>
  <c r="I240" i="6"/>
  <c r="J240" i="6"/>
  <c r="K240" i="6"/>
  <c r="I241" i="6"/>
  <c r="K241" i="6" s="1"/>
  <c r="J241" i="6"/>
  <c r="J242" i="6"/>
  <c r="J231" i="6" s="1"/>
  <c r="J185" i="6" s="1"/>
  <c r="N243" i="6"/>
  <c r="P243" i="6"/>
  <c r="L244" i="6"/>
  <c r="L245" i="6"/>
  <c r="L246" i="6"/>
  <c r="L247" i="6"/>
  <c r="I249" i="6"/>
  <c r="I242" i="6" s="1"/>
  <c r="K242" i="6" s="1"/>
  <c r="K251" i="6"/>
  <c r="K252" i="6"/>
  <c r="J253" i="6"/>
  <c r="N254" i="6"/>
  <c r="P254" i="6"/>
  <c r="L255" i="6"/>
  <c r="L256" i="6"/>
  <c r="L257" i="6"/>
  <c r="L258" i="6"/>
  <c r="I260" i="6"/>
  <c r="I253" i="6" s="1"/>
  <c r="K253" i="6" s="1"/>
  <c r="K262" i="6"/>
  <c r="K263" i="6"/>
  <c r="I265" i="6"/>
  <c r="J265" i="6"/>
  <c r="K265" i="6"/>
  <c r="L267" i="6"/>
  <c r="M267" i="6"/>
  <c r="N267" i="6"/>
  <c r="O267" i="6"/>
  <c r="O270" i="6"/>
  <c r="P270" i="6"/>
  <c r="L271" i="6"/>
  <c r="O271" i="6" s="1"/>
  <c r="M271" i="6"/>
  <c r="M269" i="6" s="1"/>
  <c r="P269" i="6" s="1"/>
  <c r="N271" i="6"/>
  <c r="N269" i="6" s="1"/>
  <c r="O273" i="6"/>
  <c r="P273" i="6"/>
  <c r="L274" i="6"/>
  <c r="O274" i="6" s="1"/>
  <c r="M274" i="6"/>
  <c r="M272" i="6" s="1"/>
  <c r="P272" i="6" s="1"/>
  <c r="N274" i="6"/>
  <c r="N272" i="6" s="1"/>
  <c r="J281" i="6"/>
  <c r="L283" i="6"/>
  <c r="O283" i="6" s="1"/>
  <c r="M283" i="6"/>
  <c r="N283" i="6"/>
  <c r="P283" i="6"/>
  <c r="O286" i="6"/>
  <c r="P286" i="6"/>
  <c r="L287" i="6"/>
  <c r="M287" i="6"/>
  <c r="M285" i="6" s="1"/>
  <c r="P285" i="6" s="1"/>
  <c r="N287" i="6"/>
  <c r="O289" i="6"/>
  <c r="P289" i="6"/>
  <c r="L290" i="6"/>
  <c r="L288" i="6" s="1"/>
  <c r="O288" i="6" s="1"/>
  <c r="M290" i="6"/>
  <c r="M288" i="6" s="1"/>
  <c r="P288" i="6" s="1"/>
  <c r="N290" i="6"/>
  <c r="N288" i="6" s="1"/>
  <c r="I292" i="6"/>
  <c r="K292" i="6" s="1"/>
  <c r="I293" i="6"/>
  <c r="I280" i="6" s="1"/>
  <c r="K280" i="6" s="1"/>
  <c r="J293" i="6"/>
  <c r="J280" i="6" s="1"/>
  <c r="I295" i="6"/>
  <c r="K295" i="6" s="1"/>
  <c r="I296" i="6"/>
  <c r="K296" i="6" s="1"/>
  <c r="J302" i="6"/>
  <c r="L304" i="6"/>
  <c r="M304" i="6"/>
  <c r="N304" i="6"/>
  <c r="O307" i="6"/>
  <c r="P307" i="6"/>
  <c r="L308" i="6"/>
  <c r="O308" i="6" s="1"/>
  <c r="M308" i="6"/>
  <c r="M306" i="6" s="1"/>
  <c r="P306" i="6" s="1"/>
  <c r="N308" i="6"/>
  <c r="N306" i="6" s="1"/>
  <c r="O310" i="6"/>
  <c r="P310" i="6"/>
  <c r="L311" i="6"/>
  <c r="O311" i="6" s="1"/>
  <c r="M311" i="6"/>
  <c r="M309" i="6" s="1"/>
  <c r="P309" i="6" s="1"/>
  <c r="N311" i="6"/>
  <c r="N309" i="6" s="1"/>
  <c r="I314" i="6"/>
  <c r="I302" i="6" s="1"/>
  <c r="K302" i="6" s="1"/>
  <c r="I315" i="6"/>
  <c r="K315" i="6" s="1"/>
  <c r="I316" i="6"/>
  <c r="K316" i="6" s="1"/>
  <c r="I317" i="6"/>
  <c r="K317" i="6" s="1"/>
  <c r="J319" i="6"/>
  <c r="L321" i="6"/>
  <c r="O321" i="6" s="1"/>
  <c r="M321" i="6"/>
  <c r="N321" i="6"/>
  <c r="P321" i="6"/>
  <c r="O324" i="6"/>
  <c r="P324" i="6"/>
  <c r="L325" i="6"/>
  <c r="L323" i="6" s="1"/>
  <c r="O323" i="6" s="1"/>
  <c r="M325" i="6"/>
  <c r="M323" i="6" s="1"/>
  <c r="P323" i="6" s="1"/>
  <c r="N325" i="6"/>
  <c r="N323" i="6" s="1"/>
  <c r="O327" i="6"/>
  <c r="P327" i="6"/>
  <c r="L328" i="6"/>
  <c r="L326" i="6" s="1"/>
  <c r="O326" i="6" s="1"/>
  <c r="M328" i="6"/>
  <c r="M326" i="6" s="1"/>
  <c r="P326" i="6" s="1"/>
  <c r="N328" i="6"/>
  <c r="N326" i="6" s="1"/>
  <c r="I330" i="6"/>
  <c r="I319" i="6" s="1"/>
  <c r="K319" i="6" s="1"/>
  <c r="L334" i="6"/>
  <c r="M334" i="6"/>
  <c r="N334" i="6"/>
  <c r="O334" i="6"/>
  <c r="O337" i="6"/>
  <c r="P337" i="6"/>
  <c r="L338" i="6"/>
  <c r="L336" i="6" s="1"/>
  <c r="M338" i="6"/>
  <c r="M336" i="6" s="1"/>
  <c r="N338" i="6"/>
  <c r="O340" i="6"/>
  <c r="P340" i="6"/>
  <c r="L341" i="6"/>
  <c r="L339" i="6" s="1"/>
  <c r="O339" i="6" s="1"/>
  <c r="M341" i="6"/>
  <c r="M339" i="6" s="1"/>
  <c r="P339" i="6" s="1"/>
  <c r="N341" i="6"/>
  <c r="N339" i="6" s="1"/>
  <c r="I344" i="6"/>
  <c r="I332" i="6" s="1"/>
  <c r="J344" i="6"/>
  <c r="I346" i="6"/>
  <c r="J346" i="6"/>
  <c r="J347" i="6"/>
  <c r="J348" i="6"/>
  <c r="J349" i="6"/>
  <c r="D350" i="6"/>
  <c r="J352" i="6"/>
  <c r="J353" i="6"/>
  <c r="D354" i="6"/>
  <c r="L357" i="6"/>
  <c r="M357" i="6"/>
  <c r="P357" i="6" s="1"/>
  <c r="N357" i="6"/>
  <c r="O357" i="6"/>
  <c r="O360" i="6"/>
  <c r="P360" i="6"/>
  <c r="L361" i="6"/>
  <c r="L359" i="6" s="1"/>
  <c r="M361" i="6"/>
  <c r="N361" i="6"/>
  <c r="O363" i="6"/>
  <c r="P363" i="6"/>
  <c r="L364" i="6"/>
  <c r="L362" i="6" s="1"/>
  <c r="O362" i="6" s="1"/>
  <c r="M364" i="6"/>
  <c r="M362" i="6" s="1"/>
  <c r="P362" i="6" s="1"/>
  <c r="N364" i="6"/>
  <c r="N362" i="6" s="1"/>
  <c r="J367" i="6"/>
  <c r="K367" i="6"/>
  <c r="I368" i="6"/>
  <c r="J368" i="6"/>
  <c r="I369" i="6"/>
  <c r="J369" i="6"/>
  <c r="J370" i="6"/>
  <c r="K370" i="6"/>
  <c r="I371" i="6"/>
  <c r="I365" i="6" s="1"/>
  <c r="J371" i="6"/>
  <c r="J365" i="6" s="1"/>
  <c r="J372" i="6"/>
  <c r="K372" i="6"/>
  <c r="D373" i="6"/>
  <c r="I376" i="6"/>
  <c r="J376" i="6"/>
  <c r="K376" i="6"/>
  <c r="L378" i="6"/>
  <c r="O378" i="6" s="1"/>
  <c r="M378" i="6"/>
  <c r="N378" i="6"/>
  <c r="O381" i="6"/>
  <c r="P381" i="6"/>
  <c r="L382" i="6"/>
  <c r="M382" i="6"/>
  <c r="P382" i="6" s="1"/>
  <c r="N382" i="6"/>
  <c r="N380" i="6" s="1"/>
  <c r="O384" i="6"/>
  <c r="P384" i="6"/>
  <c r="L385" i="6"/>
  <c r="O385" i="6" s="1"/>
  <c r="M385" i="6"/>
  <c r="P385" i="6" s="1"/>
  <c r="N385" i="6"/>
  <c r="N383" i="6" s="1"/>
  <c r="K387" i="6"/>
  <c r="K388" i="6"/>
  <c r="A391" i="6"/>
  <c r="L22" i="5"/>
  <c r="M22" i="5"/>
  <c r="N22" i="5"/>
  <c r="P22" i="5"/>
  <c r="L25" i="5"/>
  <c r="O25" i="5" s="1"/>
  <c r="M25" i="5"/>
  <c r="N25" i="5"/>
  <c r="L45" i="5"/>
  <c r="O45" i="5" s="1"/>
  <c r="M45" i="5"/>
  <c r="P45" i="5" s="1"/>
  <c r="N45" i="5"/>
  <c r="O48" i="5"/>
  <c r="P48" i="5"/>
  <c r="L49" i="5"/>
  <c r="L47" i="5" s="1"/>
  <c r="M49" i="5"/>
  <c r="M47" i="5" s="1"/>
  <c r="N49" i="5"/>
  <c r="O51" i="5"/>
  <c r="P51" i="5"/>
  <c r="L52" i="5"/>
  <c r="L50" i="5" s="1"/>
  <c r="O50" i="5" s="1"/>
  <c r="M52" i="5"/>
  <c r="P52" i="5" s="1"/>
  <c r="N52" i="5"/>
  <c r="N50" i="5" s="1"/>
  <c r="L60" i="5"/>
  <c r="M60" i="5"/>
  <c r="P60" i="5" s="1"/>
  <c r="N60" i="5"/>
  <c r="O63" i="5"/>
  <c r="P63" i="5"/>
  <c r="L64" i="5"/>
  <c r="L62" i="5" s="1"/>
  <c r="M64" i="5"/>
  <c r="N64" i="5"/>
  <c r="N62" i="5" s="1"/>
  <c r="O66" i="5"/>
  <c r="P66" i="5"/>
  <c r="L67" i="5"/>
  <c r="L65" i="5" s="1"/>
  <c r="O65" i="5" s="1"/>
  <c r="M67" i="5"/>
  <c r="N67" i="5"/>
  <c r="N65" i="5" s="1"/>
  <c r="L73" i="5"/>
  <c r="M73" i="5"/>
  <c r="P73" i="5" s="1"/>
  <c r="N73" i="5"/>
  <c r="O73" i="5"/>
  <c r="O76" i="5"/>
  <c r="P76" i="5"/>
  <c r="L77" i="5"/>
  <c r="L75" i="5" s="1"/>
  <c r="O75" i="5" s="1"/>
  <c r="M77" i="5"/>
  <c r="M75" i="5" s="1"/>
  <c r="P75" i="5" s="1"/>
  <c r="N77" i="5"/>
  <c r="N75" i="5" s="1"/>
  <c r="O79" i="5"/>
  <c r="P79" i="5"/>
  <c r="L80" i="5"/>
  <c r="L78" i="5" s="1"/>
  <c r="O78" i="5" s="1"/>
  <c r="M80" i="5"/>
  <c r="M78" i="5" s="1"/>
  <c r="P78" i="5" s="1"/>
  <c r="N80" i="5"/>
  <c r="N78" i="5" s="1"/>
  <c r="J82" i="5"/>
  <c r="J70" i="5" s="1"/>
  <c r="J83" i="5"/>
  <c r="J71" i="5" s="1"/>
  <c r="I84" i="5"/>
  <c r="K84" i="5" s="1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O95" i="5" s="1"/>
  <c r="M95" i="5"/>
  <c r="P95" i="5" s="1"/>
  <c r="N95" i="5"/>
  <c r="O98" i="5"/>
  <c r="P98" i="5"/>
  <c r="L99" i="5"/>
  <c r="M99" i="5"/>
  <c r="N99" i="5"/>
  <c r="N97" i="5" s="1"/>
  <c r="O101" i="5"/>
  <c r="P101" i="5"/>
  <c r="L102" i="5"/>
  <c r="O102" i="5" s="1"/>
  <c r="M102" i="5"/>
  <c r="N102" i="5"/>
  <c r="N100" i="5" s="1"/>
  <c r="I108" i="5"/>
  <c r="K108" i="5" s="1"/>
  <c r="I109" i="5"/>
  <c r="I93" i="5" s="1"/>
  <c r="K93" i="5" s="1"/>
  <c r="I117" i="5"/>
  <c r="K117" i="5" s="1"/>
  <c r="L126" i="5"/>
  <c r="M126" i="5"/>
  <c r="N126" i="5"/>
  <c r="O126" i="5"/>
  <c r="O129" i="5"/>
  <c r="P129" i="5"/>
  <c r="L130" i="5"/>
  <c r="O130" i="5" s="1"/>
  <c r="M130" i="5"/>
  <c r="N130" i="5"/>
  <c r="N128" i="5" s="1"/>
  <c r="O132" i="5"/>
  <c r="P132" i="5"/>
  <c r="L133" i="5"/>
  <c r="O133" i="5" s="1"/>
  <c r="M133" i="5"/>
  <c r="P133" i="5" s="1"/>
  <c r="N133" i="5"/>
  <c r="N131" i="5" s="1"/>
  <c r="J136" i="5"/>
  <c r="J137" i="5"/>
  <c r="J138" i="5"/>
  <c r="L140" i="5"/>
  <c r="O140" i="5" s="1"/>
  <c r="M140" i="5"/>
  <c r="N140" i="5"/>
  <c r="O143" i="5"/>
  <c r="P143" i="5"/>
  <c r="L144" i="5"/>
  <c r="M144" i="5"/>
  <c r="M142" i="5" s="1"/>
  <c r="N144" i="5"/>
  <c r="N142" i="5" s="1"/>
  <c r="O146" i="5"/>
  <c r="P146" i="5"/>
  <c r="L147" i="5"/>
  <c r="O147" i="5" s="1"/>
  <c r="M147" i="5"/>
  <c r="M145" i="5" s="1"/>
  <c r="P145" i="5" s="1"/>
  <c r="N147" i="5"/>
  <c r="N145" i="5" s="1"/>
  <c r="I150" i="5"/>
  <c r="K150" i="5" s="1"/>
  <c r="I151" i="5"/>
  <c r="K151" i="5" s="1"/>
  <c r="I152" i="5"/>
  <c r="I137" i="5" s="1"/>
  <c r="K137" i="5" s="1"/>
  <c r="I153" i="5"/>
  <c r="I138" i="5" s="1"/>
  <c r="I154" i="5"/>
  <c r="K154" i="5" s="1"/>
  <c r="J156" i="5"/>
  <c r="L158" i="5"/>
  <c r="M158" i="5"/>
  <c r="P158" i="5" s="1"/>
  <c r="N158" i="5"/>
  <c r="O161" i="5"/>
  <c r="P161" i="5"/>
  <c r="L162" i="5"/>
  <c r="O162" i="5" s="1"/>
  <c r="M162" i="5"/>
  <c r="M160" i="5" s="1"/>
  <c r="P160" i="5" s="1"/>
  <c r="N162" i="5"/>
  <c r="O164" i="5"/>
  <c r="P164" i="5"/>
  <c r="L165" i="5"/>
  <c r="O165" i="5" s="1"/>
  <c r="M165" i="5"/>
  <c r="M163" i="5" s="1"/>
  <c r="P163" i="5" s="1"/>
  <c r="N165" i="5"/>
  <c r="N163" i="5" s="1"/>
  <c r="I167" i="5"/>
  <c r="K167" i="5" s="1"/>
  <c r="I168" i="5"/>
  <c r="K168" i="5" s="1"/>
  <c r="I169" i="5"/>
  <c r="I156" i="5" s="1"/>
  <c r="K156" i="5" s="1"/>
  <c r="J172" i="5"/>
  <c r="L174" i="5"/>
  <c r="M174" i="5"/>
  <c r="P174" i="5" s="1"/>
  <c r="N174" i="5"/>
  <c r="O177" i="5"/>
  <c r="P177" i="5"/>
  <c r="L178" i="5"/>
  <c r="M178" i="5"/>
  <c r="M176" i="5" s="1"/>
  <c r="N178" i="5"/>
  <c r="O180" i="5"/>
  <c r="P180" i="5"/>
  <c r="L181" i="5"/>
  <c r="O181" i="5" s="1"/>
  <c r="M181" i="5"/>
  <c r="M179" i="5" s="1"/>
  <c r="P179" i="5" s="1"/>
  <c r="N181" i="5"/>
  <c r="N179" i="5" s="1"/>
  <c r="I183" i="5"/>
  <c r="I172" i="5" s="1"/>
  <c r="K172" i="5" s="1"/>
  <c r="K184" i="5"/>
  <c r="L187" i="5"/>
  <c r="O187" i="5" s="1"/>
  <c r="M187" i="5"/>
  <c r="P187" i="5" s="1"/>
  <c r="N187" i="5"/>
  <c r="O190" i="5"/>
  <c r="P190" i="5"/>
  <c r="L191" i="5"/>
  <c r="L189" i="5" s="1"/>
  <c r="M191" i="5"/>
  <c r="M189" i="5" s="1"/>
  <c r="N191" i="5"/>
  <c r="N189" i="5" s="1"/>
  <c r="O193" i="5"/>
  <c r="P193" i="5"/>
  <c r="L194" i="5"/>
  <c r="L192" i="5" s="1"/>
  <c r="O192" i="5" s="1"/>
  <c r="M194" i="5"/>
  <c r="M192" i="5" s="1"/>
  <c r="P192" i="5" s="1"/>
  <c r="N194" i="5"/>
  <c r="J195" i="5"/>
  <c r="L196" i="5"/>
  <c r="O196" i="5" s="1"/>
  <c r="P196" i="5"/>
  <c r="I198" i="5"/>
  <c r="K198" i="5" s="1"/>
  <c r="J199" i="5"/>
  <c r="J202" i="5"/>
  <c r="N203" i="5"/>
  <c r="P203" i="5"/>
  <c r="L204" i="5"/>
  <c r="L205" i="5"/>
  <c r="L206" i="5"/>
  <c r="L207" i="5"/>
  <c r="I209" i="5"/>
  <c r="I202" i="5" s="1"/>
  <c r="I211" i="5"/>
  <c r="K211" i="5" s="1"/>
  <c r="I212" i="5"/>
  <c r="K212" i="5" s="1"/>
  <c r="J213" i="5"/>
  <c r="N214" i="5"/>
  <c r="P214" i="5"/>
  <c r="L215" i="5"/>
  <c r="L216" i="5"/>
  <c r="L217" i="5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I221" i="5" s="1"/>
  <c r="K221" i="5" s="1"/>
  <c r="I230" i="5"/>
  <c r="K230" i="5" s="1"/>
  <c r="N233" i="5"/>
  <c r="N234" i="5"/>
  <c r="N235" i="5"/>
  <c r="N236" i="5"/>
  <c r="J238" i="5"/>
  <c r="J240" i="5"/>
  <c r="J241" i="5"/>
  <c r="J242" i="5"/>
  <c r="N243" i="5"/>
  <c r="N232" i="5" s="1"/>
  <c r="P243" i="5"/>
  <c r="L244" i="5"/>
  <c r="L245" i="5"/>
  <c r="L246" i="5"/>
  <c r="L247" i="5"/>
  <c r="I249" i="5"/>
  <c r="I242" i="5" s="1"/>
  <c r="I251" i="5"/>
  <c r="I240" i="5" s="1"/>
  <c r="K240" i="5" s="1"/>
  <c r="I252" i="5"/>
  <c r="I241" i="5" s="1"/>
  <c r="K241" i="5" s="1"/>
  <c r="J253" i="5"/>
  <c r="J231" i="5" s="1"/>
  <c r="J185" i="5" s="1"/>
  <c r="N254" i="5"/>
  <c r="P254" i="5"/>
  <c r="L255" i="5"/>
  <c r="L256" i="5"/>
  <c r="L257" i="5"/>
  <c r="L258" i="5"/>
  <c r="I260" i="5"/>
  <c r="I253" i="5" s="1"/>
  <c r="K253" i="5" s="1"/>
  <c r="K262" i="5"/>
  <c r="K263" i="5"/>
  <c r="I265" i="5"/>
  <c r="K265" i="5" s="1"/>
  <c r="J265" i="5"/>
  <c r="L267" i="5"/>
  <c r="O267" i="5" s="1"/>
  <c r="M267" i="5"/>
  <c r="P267" i="5" s="1"/>
  <c r="N267" i="5"/>
  <c r="O270" i="5"/>
  <c r="P270" i="5"/>
  <c r="L271" i="5"/>
  <c r="M271" i="5"/>
  <c r="P271" i="5" s="1"/>
  <c r="N271" i="5"/>
  <c r="N269" i="5" s="1"/>
  <c r="O273" i="5"/>
  <c r="P273" i="5"/>
  <c r="L274" i="5"/>
  <c r="O274" i="5" s="1"/>
  <c r="M274" i="5"/>
  <c r="P274" i="5" s="1"/>
  <c r="N274" i="5"/>
  <c r="N272" i="5" s="1"/>
  <c r="J281" i="5"/>
  <c r="L283" i="5"/>
  <c r="M283" i="5"/>
  <c r="P283" i="5" s="1"/>
  <c r="N283" i="5"/>
  <c r="O283" i="5"/>
  <c r="O286" i="5"/>
  <c r="P286" i="5"/>
  <c r="L287" i="5"/>
  <c r="L285" i="5" s="1"/>
  <c r="O285" i="5" s="1"/>
  <c r="M287" i="5"/>
  <c r="M285" i="5" s="1"/>
  <c r="P285" i="5" s="1"/>
  <c r="N287" i="5"/>
  <c r="N285" i="5" s="1"/>
  <c r="O289" i="5"/>
  <c r="P289" i="5"/>
  <c r="L290" i="5"/>
  <c r="L288" i="5" s="1"/>
  <c r="O288" i="5" s="1"/>
  <c r="M290" i="5"/>
  <c r="P290" i="5" s="1"/>
  <c r="N290" i="5"/>
  <c r="N288" i="5" s="1"/>
  <c r="I292" i="5"/>
  <c r="I281" i="5" s="1"/>
  <c r="K281" i="5" s="1"/>
  <c r="I293" i="5"/>
  <c r="K293" i="5" s="1"/>
  <c r="J293" i="5"/>
  <c r="J280" i="5" s="1"/>
  <c r="I295" i="5"/>
  <c r="K295" i="5" s="1"/>
  <c r="I296" i="5"/>
  <c r="K296" i="5" s="1"/>
  <c r="J302" i="5"/>
  <c r="L304" i="5"/>
  <c r="O304" i="5" s="1"/>
  <c r="M304" i="5"/>
  <c r="N304" i="5"/>
  <c r="O307" i="5"/>
  <c r="P307" i="5"/>
  <c r="L308" i="5"/>
  <c r="L306" i="5" s="1"/>
  <c r="O306" i="5" s="1"/>
  <c r="M308" i="5"/>
  <c r="P308" i="5" s="1"/>
  <c r="N308" i="5"/>
  <c r="O310" i="5"/>
  <c r="P310" i="5"/>
  <c r="L311" i="5"/>
  <c r="O311" i="5" s="1"/>
  <c r="M311" i="5"/>
  <c r="P311" i="5" s="1"/>
  <c r="N311" i="5"/>
  <c r="N309" i="5" s="1"/>
  <c r="I314" i="5"/>
  <c r="I302" i="5" s="1"/>
  <c r="K302" i="5" s="1"/>
  <c r="I315" i="5"/>
  <c r="K315" i="5" s="1"/>
  <c r="I316" i="5"/>
  <c r="K316" i="5" s="1"/>
  <c r="I317" i="5"/>
  <c r="K317" i="5" s="1"/>
  <c r="J319" i="5"/>
  <c r="L321" i="5"/>
  <c r="O321" i="5" s="1"/>
  <c r="M321" i="5"/>
  <c r="P321" i="5" s="1"/>
  <c r="N321" i="5"/>
  <c r="O324" i="5"/>
  <c r="P324" i="5"/>
  <c r="L325" i="5"/>
  <c r="L323" i="5" s="1"/>
  <c r="O323" i="5" s="1"/>
  <c r="M325" i="5"/>
  <c r="N325" i="5"/>
  <c r="N323" i="5" s="1"/>
  <c r="O327" i="5"/>
  <c r="P327" i="5"/>
  <c r="L328" i="5"/>
  <c r="L326" i="5" s="1"/>
  <c r="O326" i="5" s="1"/>
  <c r="M328" i="5"/>
  <c r="M326" i="5" s="1"/>
  <c r="P326" i="5" s="1"/>
  <c r="N328" i="5"/>
  <c r="N326" i="5" s="1"/>
  <c r="I330" i="5"/>
  <c r="I319" i="5" s="1"/>
  <c r="K319" i="5" s="1"/>
  <c r="L334" i="5"/>
  <c r="M334" i="5"/>
  <c r="P334" i="5" s="1"/>
  <c r="N334" i="5"/>
  <c r="O337" i="5"/>
  <c r="P337" i="5"/>
  <c r="L338" i="5"/>
  <c r="M338" i="5"/>
  <c r="N338" i="5"/>
  <c r="N336" i="5" s="1"/>
  <c r="O340" i="5"/>
  <c r="P340" i="5"/>
  <c r="L341" i="5"/>
  <c r="O341" i="5" s="1"/>
  <c r="M341" i="5"/>
  <c r="P341" i="5" s="1"/>
  <c r="N341" i="5"/>
  <c r="N339" i="5" s="1"/>
  <c r="I344" i="5"/>
  <c r="J344" i="5"/>
  <c r="I346" i="5"/>
  <c r="J346" i="5"/>
  <c r="J347" i="5"/>
  <c r="J348" i="5"/>
  <c r="J349" i="5"/>
  <c r="D350" i="5"/>
  <c r="J352" i="5"/>
  <c r="J353" i="5"/>
  <c r="D354" i="5"/>
  <c r="L357" i="5"/>
  <c r="M357" i="5"/>
  <c r="P357" i="5" s="1"/>
  <c r="N357" i="5"/>
  <c r="O360" i="5"/>
  <c r="P360" i="5"/>
  <c r="L361" i="5"/>
  <c r="M361" i="5"/>
  <c r="M359" i="5" s="1"/>
  <c r="N361" i="5"/>
  <c r="N359" i="5" s="1"/>
  <c r="O363" i="5"/>
  <c r="P363" i="5"/>
  <c r="L364" i="5"/>
  <c r="O364" i="5" s="1"/>
  <c r="M364" i="5"/>
  <c r="M362" i="5" s="1"/>
  <c r="P362" i="5" s="1"/>
  <c r="N364" i="5"/>
  <c r="N362" i="5" s="1"/>
  <c r="J367" i="5"/>
  <c r="K367" i="5"/>
  <c r="I368" i="5"/>
  <c r="J368" i="5"/>
  <c r="I369" i="5"/>
  <c r="J369" i="5"/>
  <c r="J370" i="5"/>
  <c r="K370" i="5"/>
  <c r="I371" i="5"/>
  <c r="J371" i="5"/>
  <c r="J365" i="5" s="1"/>
  <c r="J372" i="5"/>
  <c r="K372" i="5"/>
  <c r="D373" i="5"/>
  <c r="I376" i="5"/>
  <c r="K376" i="5" s="1"/>
  <c r="J376" i="5"/>
  <c r="L378" i="5"/>
  <c r="O378" i="5" s="1"/>
  <c r="M378" i="5"/>
  <c r="P378" i="5" s="1"/>
  <c r="N378" i="5"/>
  <c r="O381" i="5"/>
  <c r="P381" i="5"/>
  <c r="L382" i="5"/>
  <c r="O382" i="5" s="1"/>
  <c r="M382" i="5"/>
  <c r="N382" i="5"/>
  <c r="N380" i="5" s="1"/>
  <c r="O384" i="5"/>
  <c r="P384" i="5"/>
  <c r="L385" i="5"/>
  <c r="O385" i="5" s="1"/>
  <c r="M385" i="5"/>
  <c r="P385" i="5" s="1"/>
  <c r="N385" i="5"/>
  <c r="N383" i="5" s="1"/>
  <c r="K387" i="5"/>
  <c r="K388" i="5"/>
  <c r="A391" i="5"/>
  <c r="L22" i="4"/>
  <c r="M22" i="4"/>
  <c r="P22" i="4" s="1"/>
  <c r="N22" i="4"/>
  <c r="L25" i="4"/>
  <c r="O25" i="4" s="1"/>
  <c r="M25" i="4"/>
  <c r="N25" i="4"/>
  <c r="L45" i="4"/>
  <c r="O45" i="4" s="1"/>
  <c r="M45" i="4"/>
  <c r="P45" i="4" s="1"/>
  <c r="N45" i="4"/>
  <c r="O48" i="4"/>
  <c r="P48" i="4"/>
  <c r="L49" i="4"/>
  <c r="M49" i="4"/>
  <c r="N49" i="4"/>
  <c r="N47" i="4" s="1"/>
  <c r="O51" i="4"/>
  <c r="P51" i="4"/>
  <c r="L52" i="4"/>
  <c r="M52" i="4"/>
  <c r="M50" i="4" s="1"/>
  <c r="P50" i="4" s="1"/>
  <c r="N52" i="4"/>
  <c r="N50" i="4" s="1"/>
  <c r="L60" i="4"/>
  <c r="M60" i="4"/>
  <c r="N60" i="4"/>
  <c r="P60" i="4"/>
  <c r="O63" i="4"/>
  <c r="P63" i="4"/>
  <c r="L64" i="4"/>
  <c r="M64" i="4"/>
  <c r="N64" i="4"/>
  <c r="N62" i="4" s="1"/>
  <c r="O66" i="4"/>
  <c r="P66" i="4"/>
  <c r="L67" i="4"/>
  <c r="L65" i="4" s="1"/>
  <c r="O65" i="4" s="1"/>
  <c r="M67" i="4"/>
  <c r="N67" i="4"/>
  <c r="N65" i="4" s="1"/>
  <c r="L73" i="4"/>
  <c r="M73" i="4"/>
  <c r="N73" i="4"/>
  <c r="O76" i="4"/>
  <c r="P76" i="4"/>
  <c r="L77" i="4"/>
  <c r="M77" i="4"/>
  <c r="M75" i="4" s="1"/>
  <c r="P75" i="4" s="1"/>
  <c r="N77" i="4"/>
  <c r="N75" i="4" s="1"/>
  <c r="O79" i="4"/>
  <c r="P79" i="4"/>
  <c r="L80" i="4"/>
  <c r="M80" i="4"/>
  <c r="P80" i="4" s="1"/>
  <c r="N80" i="4"/>
  <c r="J82" i="4"/>
  <c r="J70" i="4" s="1"/>
  <c r="J83" i="4"/>
  <c r="J71" i="4" s="1"/>
  <c r="I84" i="4"/>
  <c r="K84" i="4" s="1"/>
  <c r="I85" i="4"/>
  <c r="K85" i="4" s="1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M95" i="4"/>
  <c r="N95" i="4"/>
  <c r="P95" i="4"/>
  <c r="O98" i="4"/>
  <c r="P98" i="4"/>
  <c r="L99" i="4"/>
  <c r="L97" i="4" s="1"/>
  <c r="O97" i="4" s="1"/>
  <c r="M99" i="4"/>
  <c r="N99" i="4"/>
  <c r="N97" i="4" s="1"/>
  <c r="O101" i="4"/>
  <c r="P101" i="4"/>
  <c r="L102" i="4"/>
  <c r="L100" i="4" s="1"/>
  <c r="O100" i="4" s="1"/>
  <c r="M102" i="4"/>
  <c r="N102" i="4"/>
  <c r="N100" i="4" s="1"/>
  <c r="I108" i="4"/>
  <c r="K108" i="4" s="1"/>
  <c r="I109" i="4"/>
  <c r="K109" i="4" s="1"/>
  <c r="I117" i="4"/>
  <c r="K117" i="4" s="1"/>
  <c r="L126" i="4"/>
  <c r="M126" i="4"/>
  <c r="N126" i="4"/>
  <c r="O126" i="4"/>
  <c r="O129" i="4"/>
  <c r="P129" i="4"/>
  <c r="L130" i="4"/>
  <c r="M130" i="4"/>
  <c r="N130" i="4"/>
  <c r="N128" i="4" s="1"/>
  <c r="O132" i="4"/>
  <c r="P132" i="4"/>
  <c r="L133" i="4"/>
  <c r="O133" i="4" s="1"/>
  <c r="M133" i="4"/>
  <c r="M131" i="4" s="1"/>
  <c r="P131" i="4" s="1"/>
  <c r="N133" i="4"/>
  <c r="N131" i="4" s="1"/>
  <c r="J136" i="4"/>
  <c r="J137" i="4"/>
  <c r="J138" i="4"/>
  <c r="L140" i="4"/>
  <c r="M140" i="4"/>
  <c r="P140" i="4" s="1"/>
  <c r="N140" i="4"/>
  <c r="O140" i="4"/>
  <c r="O143" i="4"/>
  <c r="P143" i="4"/>
  <c r="L144" i="4"/>
  <c r="M144" i="4"/>
  <c r="M142" i="4" s="1"/>
  <c r="N144" i="4"/>
  <c r="N142" i="4" s="1"/>
  <c r="O146" i="4"/>
  <c r="P146" i="4"/>
  <c r="L147" i="4"/>
  <c r="L145" i="4" s="1"/>
  <c r="O145" i="4" s="1"/>
  <c r="M147" i="4"/>
  <c r="M145" i="4" s="1"/>
  <c r="P145" i="4" s="1"/>
  <c r="N147" i="4"/>
  <c r="N145" i="4" s="1"/>
  <c r="I150" i="4"/>
  <c r="K150" i="4" s="1"/>
  <c r="I151" i="4"/>
  <c r="K151" i="4" s="1"/>
  <c r="I152" i="4"/>
  <c r="I137" i="4" s="1"/>
  <c r="I153" i="4"/>
  <c r="I138" i="4" s="1"/>
  <c r="K138" i="4" s="1"/>
  <c r="I154" i="4"/>
  <c r="K154" i="4" s="1"/>
  <c r="J156" i="4"/>
  <c r="L158" i="4"/>
  <c r="M158" i="4"/>
  <c r="N158" i="4"/>
  <c r="O158" i="4"/>
  <c r="O161" i="4"/>
  <c r="P161" i="4"/>
  <c r="L162" i="4"/>
  <c r="O162" i="4" s="1"/>
  <c r="M162" i="4"/>
  <c r="M160" i="4" s="1"/>
  <c r="P160" i="4" s="1"/>
  <c r="N162" i="4"/>
  <c r="N160" i="4" s="1"/>
  <c r="O164" i="4"/>
  <c r="P164" i="4"/>
  <c r="L165" i="4"/>
  <c r="O165" i="4" s="1"/>
  <c r="M165" i="4"/>
  <c r="P165" i="4" s="1"/>
  <c r="N165" i="4"/>
  <c r="N163" i="4" s="1"/>
  <c r="I167" i="4"/>
  <c r="K167" i="4" s="1"/>
  <c r="I168" i="4"/>
  <c r="K168" i="4" s="1"/>
  <c r="I169" i="4"/>
  <c r="K169" i="4" s="1"/>
  <c r="J172" i="4"/>
  <c r="L174" i="4"/>
  <c r="O174" i="4" s="1"/>
  <c r="M174" i="4"/>
  <c r="N174" i="4"/>
  <c r="O177" i="4"/>
  <c r="P177" i="4"/>
  <c r="L178" i="4"/>
  <c r="M178" i="4"/>
  <c r="M176" i="4" s="1"/>
  <c r="N178" i="4"/>
  <c r="N176" i="4" s="1"/>
  <c r="O180" i="4"/>
  <c r="P180" i="4"/>
  <c r="L181" i="4"/>
  <c r="O181" i="4" s="1"/>
  <c r="M181" i="4"/>
  <c r="P181" i="4" s="1"/>
  <c r="N181" i="4"/>
  <c r="N179" i="4" s="1"/>
  <c r="I183" i="4"/>
  <c r="I172" i="4" s="1"/>
  <c r="K184" i="4"/>
  <c r="L187" i="4"/>
  <c r="M187" i="4"/>
  <c r="P187" i="4" s="1"/>
  <c r="N187" i="4"/>
  <c r="O190" i="4"/>
  <c r="P190" i="4"/>
  <c r="L191" i="4"/>
  <c r="M191" i="4"/>
  <c r="M189" i="4" s="1"/>
  <c r="N191" i="4"/>
  <c r="O193" i="4"/>
  <c r="P193" i="4"/>
  <c r="L194" i="4"/>
  <c r="O194" i="4" s="1"/>
  <c r="M194" i="4"/>
  <c r="M192" i="4" s="1"/>
  <c r="P192" i="4" s="1"/>
  <c r="N194" i="4"/>
  <c r="N192" i="4" s="1"/>
  <c r="J195" i="4"/>
  <c r="L196" i="4"/>
  <c r="O196" i="4" s="1"/>
  <c r="P196" i="4"/>
  <c r="I198" i="4"/>
  <c r="K198" i="4" s="1"/>
  <c r="J199" i="4"/>
  <c r="J202" i="4"/>
  <c r="N203" i="4"/>
  <c r="P203" i="4"/>
  <c r="L204" i="4"/>
  <c r="L205" i="4"/>
  <c r="L206" i="4"/>
  <c r="L207" i="4"/>
  <c r="I209" i="4"/>
  <c r="I202" i="4" s="1"/>
  <c r="K202" i="4" s="1"/>
  <c r="I211" i="4"/>
  <c r="K211" i="4" s="1"/>
  <c r="I212" i="4"/>
  <c r="K212" i="4" s="1"/>
  <c r="J213" i="4"/>
  <c r="N214" i="4"/>
  <c r="P214" i="4"/>
  <c r="L215" i="4"/>
  <c r="L216" i="4"/>
  <c r="L217" i="4"/>
  <c r="I219" i="4"/>
  <c r="K219" i="4" s="1"/>
  <c r="I220" i="4"/>
  <c r="I213" i="4" s="1"/>
  <c r="K213" i="4" s="1"/>
  <c r="J221" i="4"/>
  <c r="N222" i="4"/>
  <c r="P222" i="4"/>
  <c r="L223" i="4"/>
  <c r="L224" i="4"/>
  <c r="L225" i="4"/>
  <c r="I228" i="4"/>
  <c r="K228" i="4" s="1"/>
  <c r="I229" i="4"/>
  <c r="I230" i="4"/>
  <c r="K230" i="4" s="1"/>
  <c r="N233" i="4"/>
  <c r="N234" i="4"/>
  <c r="N235" i="4"/>
  <c r="N236" i="4"/>
  <c r="J238" i="4"/>
  <c r="I240" i="4"/>
  <c r="K240" i="4" s="1"/>
  <c r="J240" i="4"/>
  <c r="I241" i="4"/>
  <c r="K241" i="4" s="1"/>
  <c r="J241" i="4"/>
  <c r="J242" i="4"/>
  <c r="N243" i="4"/>
  <c r="N232" i="4" s="1"/>
  <c r="P243" i="4"/>
  <c r="L244" i="4"/>
  <c r="L245" i="4"/>
  <c r="L246" i="4"/>
  <c r="L247" i="4"/>
  <c r="I249" i="4"/>
  <c r="K249" i="4" s="1"/>
  <c r="K251" i="4"/>
  <c r="K252" i="4"/>
  <c r="J253" i="4"/>
  <c r="J231" i="4" s="1"/>
  <c r="J185" i="4" s="1"/>
  <c r="N254" i="4"/>
  <c r="P254" i="4"/>
  <c r="L255" i="4"/>
  <c r="L256" i="4"/>
  <c r="L257" i="4"/>
  <c r="L258" i="4"/>
  <c r="I260" i="4"/>
  <c r="I253" i="4" s="1"/>
  <c r="K253" i="4" s="1"/>
  <c r="K262" i="4"/>
  <c r="K263" i="4"/>
  <c r="I265" i="4"/>
  <c r="K265" i="4" s="1"/>
  <c r="J265" i="4"/>
  <c r="L267" i="4"/>
  <c r="M267" i="4"/>
  <c r="P267" i="4" s="1"/>
  <c r="N267" i="4"/>
  <c r="O270" i="4"/>
  <c r="P270" i="4"/>
  <c r="L271" i="4"/>
  <c r="L269" i="4" s="1"/>
  <c r="O269" i="4" s="1"/>
  <c r="M271" i="4"/>
  <c r="M269" i="4" s="1"/>
  <c r="P269" i="4" s="1"/>
  <c r="N271" i="4"/>
  <c r="N269" i="4" s="1"/>
  <c r="O273" i="4"/>
  <c r="P273" i="4"/>
  <c r="L274" i="4"/>
  <c r="L272" i="4" s="1"/>
  <c r="O272" i="4" s="1"/>
  <c r="M274" i="4"/>
  <c r="M272" i="4" s="1"/>
  <c r="P272" i="4" s="1"/>
  <c r="N274" i="4"/>
  <c r="N272" i="4" s="1"/>
  <c r="J281" i="4"/>
  <c r="L283" i="4"/>
  <c r="M283" i="4"/>
  <c r="N283" i="4"/>
  <c r="O283" i="4"/>
  <c r="O286" i="4"/>
  <c r="P286" i="4"/>
  <c r="L287" i="4"/>
  <c r="O287" i="4" s="1"/>
  <c r="M287" i="4"/>
  <c r="M285" i="4" s="1"/>
  <c r="P285" i="4" s="1"/>
  <c r="N287" i="4"/>
  <c r="N285" i="4" s="1"/>
  <c r="O289" i="4"/>
  <c r="P289" i="4"/>
  <c r="L290" i="4"/>
  <c r="L288" i="4" s="1"/>
  <c r="O288" i="4" s="1"/>
  <c r="M290" i="4"/>
  <c r="P290" i="4" s="1"/>
  <c r="N290" i="4"/>
  <c r="N288" i="4" s="1"/>
  <c r="I292" i="4"/>
  <c r="I281" i="4" s="1"/>
  <c r="K281" i="4" s="1"/>
  <c r="I293" i="4"/>
  <c r="J293" i="4"/>
  <c r="J280" i="4" s="1"/>
  <c r="I295" i="4"/>
  <c r="K295" i="4" s="1"/>
  <c r="I296" i="4"/>
  <c r="K296" i="4" s="1"/>
  <c r="J302" i="4"/>
  <c r="L304" i="4"/>
  <c r="M304" i="4"/>
  <c r="P304" i="4" s="1"/>
  <c r="N304" i="4"/>
  <c r="O307" i="4"/>
  <c r="P307" i="4"/>
  <c r="L308" i="4"/>
  <c r="L306" i="4" s="1"/>
  <c r="O306" i="4" s="1"/>
  <c r="M308" i="4"/>
  <c r="M306" i="4" s="1"/>
  <c r="P306" i="4" s="1"/>
  <c r="N308" i="4"/>
  <c r="N306" i="4" s="1"/>
  <c r="O310" i="4"/>
  <c r="P310" i="4"/>
  <c r="L311" i="4"/>
  <c r="L309" i="4" s="1"/>
  <c r="O309" i="4" s="1"/>
  <c r="M311" i="4"/>
  <c r="M309" i="4" s="1"/>
  <c r="P309" i="4" s="1"/>
  <c r="N311" i="4"/>
  <c r="N309" i="4" s="1"/>
  <c r="I314" i="4"/>
  <c r="K314" i="4" s="1"/>
  <c r="I315" i="4"/>
  <c r="K315" i="4" s="1"/>
  <c r="I316" i="4"/>
  <c r="K316" i="4" s="1"/>
  <c r="I317" i="4"/>
  <c r="K317" i="4" s="1"/>
  <c r="J319" i="4"/>
  <c r="L321" i="4"/>
  <c r="O321" i="4" s="1"/>
  <c r="M321" i="4"/>
  <c r="P321" i="4" s="1"/>
  <c r="N321" i="4"/>
  <c r="O324" i="4"/>
  <c r="P324" i="4"/>
  <c r="L325" i="4"/>
  <c r="M325" i="4"/>
  <c r="M323" i="4" s="1"/>
  <c r="P323" i="4" s="1"/>
  <c r="N325" i="4"/>
  <c r="O327" i="4"/>
  <c r="P327" i="4"/>
  <c r="L328" i="4"/>
  <c r="M328" i="4"/>
  <c r="P328" i="4" s="1"/>
  <c r="N328" i="4"/>
  <c r="N326" i="4" s="1"/>
  <c r="I330" i="4"/>
  <c r="K330" i="4" s="1"/>
  <c r="L334" i="4"/>
  <c r="M334" i="4"/>
  <c r="P334" i="4" s="1"/>
  <c r="N334" i="4"/>
  <c r="O334" i="4"/>
  <c r="O337" i="4"/>
  <c r="P337" i="4"/>
  <c r="L338" i="4"/>
  <c r="M338" i="4"/>
  <c r="M336" i="4" s="1"/>
  <c r="N338" i="4"/>
  <c r="N336" i="4" s="1"/>
  <c r="O340" i="4"/>
  <c r="P340" i="4"/>
  <c r="L341" i="4"/>
  <c r="O341" i="4" s="1"/>
  <c r="M341" i="4"/>
  <c r="M339" i="4" s="1"/>
  <c r="P339" i="4" s="1"/>
  <c r="N341" i="4"/>
  <c r="N339" i="4" s="1"/>
  <c r="I344" i="4"/>
  <c r="I332" i="4" s="1"/>
  <c r="J344" i="4"/>
  <c r="I346" i="4"/>
  <c r="J346" i="4"/>
  <c r="J347" i="4"/>
  <c r="J348" i="4"/>
  <c r="J349" i="4"/>
  <c r="D350" i="4"/>
  <c r="J352" i="4"/>
  <c r="J353" i="4"/>
  <c r="D354" i="4"/>
  <c r="L357" i="4"/>
  <c r="M357" i="4"/>
  <c r="P357" i="4" s="1"/>
  <c r="N357" i="4"/>
  <c r="O357" i="4"/>
  <c r="O360" i="4"/>
  <c r="P360" i="4"/>
  <c r="L361" i="4"/>
  <c r="M361" i="4"/>
  <c r="M359" i="4" s="1"/>
  <c r="N361" i="4"/>
  <c r="O363" i="4"/>
  <c r="P363" i="4"/>
  <c r="L364" i="4"/>
  <c r="O364" i="4" s="1"/>
  <c r="M364" i="4"/>
  <c r="M362" i="4" s="1"/>
  <c r="P362" i="4" s="1"/>
  <c r="N364" i="4"/>
  <c r="N362" i="4" s="1"/>
  <c r="J367" i="4"/>
  <c r="K367" i="4"/>
  <c r="I368" i="4"/>
  <c r="J368" i="4"/>
  <c r="I369" i="4"/>
  <c r="J369" i="4"/>
  <c r="J370" i="4"/>
  <c r="K370" i="4"/>
  <c r="I371" i="4"/>
  <c r="I365" i="4" s="1"/>
  <c r="J371" i="4"/>
  <c r="J365" i="4" s="1"/>
  <c r="J372" i="4"/>
  <c r="K372" i="4"/>
  <c r="D373" i="4"/>
  <c r="I376" i="4"/>
  <c r="K376" i="4" s="1"/>
  <c r="J376" i="4"/>
  <c r="L378" i="4"/>
  <c r="M378" i="4"/>
  <c r="P378" i="4" s="1"/>
  <c r="N378" i="4"/>
  <c r="O378" i="4"/>
  <c r="O381" i="4"/>
  <c r="P381" i="4"/>
  <c r="L382" i="4"/>
  <c r="L380" i="4" s="1"/>
  <c r="O380" i="4" s="1"/>
  <c r="M382" i="4"/>
  <c r="P382" i="4" s="1"/>
  <c r="N382" i="4"/>
  <c r="O384" i="4"/>
  <c r="P384" i="4"/>
  <c r="L385" i="4"/>
  <c r="L383" i="4" s="1"/>
  <c r="O383" i="4" s="1"/>
  <c r="M385" i="4"/>
  <c r="M383" i="4" s="1"/>
  <c r="P383" i="4" s="1"/>
  <c r="N385" i="4"/>
  <c r="N383" i="4" s="1"/>
  <c r="K387" i="4"/>
  <c r="K388" i="4"/>
  <c r="A391" i="4"/>
  <c r="L22" i="3"/>
  <c r="M22" i="3"/>
  <c r="N22" i="3"/>
  <c r="L25" i="3"/>
  <c r="O25" i="3" s="1"/>
  <c r="M25" i="3"/>
  <c r="P25" i="3" s="1"/>
  <c r="N25" i="3"/>
  <c r="L45" i="3"/>
  <c r="M45" i="3"/>
  <c r="P45" i="3" s="1"/>
  <c r="N45" i="3"/>
  <c r="O45" i="3"/>
  <c r="O48" i="3"/>
  <c r="P48" i="3"/>
  <c r="L49" i="3"/>
  <c r="L47" i="3" s="1"/>
  <c r="M49" i="3"/>
  <c r="N49" i="3"/>
  <c r="N47" i="3" s="1"/>
  <c r="O51" i="3"/>
  <c r="P51" i="3"/>
  <c r="L52" i="3"/>
  <c r="L50" i="3" s="1"/>
  <c r="O50" i="3" s="1"/>
  <c r="M52" i="3"/>
  <c r="N52" i="3"/>
  <c r="L60" i="3"/>
  <c r="M60" i="3"/>
  <c r="N60" i="3"/>
  <c r="P60" i="3"/>
  <c r="O63" i="3"/>
  <c r="P63" i="3"/>
  <c r="L64" i="3"/>
  <c r="M64" i="3"/>
  <c r="M62" i="3" s="1"/>
  <c r="N64" i="3"/>
  <c r="O66" i="3"/>
  <c r="P66" i="3"/>
  <c r="L67" i="3"/>
  <c r="M67" i="3"/>
  <c r="P67" i="3" s="1"/>
  <c r="N67" i="3"/>
  <c r="N65" i="3" s="1"/>
  <c r="L73" i="3"/>
  <c r="M73" i="3"/>
  <c r="P73" i="3" s="1"/>
  <c r="N73" i="3"/>
  <c r="O73" i="3"/>
  <c r="O76" i="3"/>
  <c r="P76" i="3"/>
  <c r="L77" i="3"/>
  <c r="L75" i="3" s="1"/>
  <c r="O75" i="3" s="1"/>
  <c r="M77" i="3"/>
  <c r="N77" i="3"/>
  <c r="N75" i="3" s="1"/>
  <c r="O79" i="3"/>
  <c r="P79" i="3"/>
  <c r="L80" i="3"/>
  <c r="L78" i="3" s="1"/>
  <c r="O78" i="3" s="1"/>
  <c r="M80" i="3"/>
  <c r="M78" i="3" s="1"/>
  <c r="P78" i="3" s="1"/>
  <c r="N80" i="3"/>
  <c r="N78" i="3" s="1"/>
  <c r="J82" i="3"/>
  <c r="J70" i="3" s="1"/>
  <c r="J83" i="3"/>
  <c r="J71" i="3" s="1"/>
  <c r="I84" i="3"/>
  <c r="K84" i="3" s="1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P95" i="3" s="1"/>
  <c r="N95" i="3"/>
  <c r="O95" i="3"/>
  <c r="O98" i="3"/>
  <c r="P98" i="3"/>
  <c r="L99" i="3"/>
  <c r="M99" i="3"/>
  <c r="M97" i="3" s="1"/>
  <c r="P97" i="3" s="1"/>
  <c r="N99" i="3"/>
  <c r="N97" i="3" s="1"/>
  <c r="O101" i="3"/>
  <c r="P101" i="3"/>
  <c r="L102" i="3"/>
  <c r="L100" i="3" s="1"/>
  <c r="O100" i="3" s="1"/>
  <c r="M102" i="3"/>
  <c r="M100" i="3" s="1"/>
  <c r="P100" i="3" s="1"/>
  <c r="N102" i="3"/>
  <c r="N100" i="3" s="1"/>
  <c r="I108" i="3"/>
  <c r="I109" i="3"/>
  <c r="K109" i="3" s="1"/>
  <c r="I117" i="3"/>
  <c r="K117" i="3" s="1"/>
  <c r="L126" i="3"/>
  <c r="O126" i="3" s="1"/>
  <c r="M126" i="3"/>
  <c r="N126" i="3"/>
  <c r="O129" i="3"/>
  <c r="P129" i="3"/>
  <c r="L130" i="3"/>
  <c r="O130" i="3" s="1"/>
  <c r="M130" i="3"/>
  <c r="N130" i="3"/>
  <c r="O132" i="3"/>
  <c r="P132" i="3"/>
  <c r="L133" i="3"/>
  <c r="O133" i="3" s="1"/>
  <c r="M133" i="3"/>
  <c r="N133" i="3"/>
  <c r="N131" i="3" s="1"/>
  <c r="J136" i="3"/>
  <c r="J137" i="3"/>
  <c r="J138" i="3"/>
  <c r="L140" i="3"/>
  <c r="O140" i="3" s="1"/>
  <c r="M140" i="3"/>
  <c r="N140" i="3"/>
  <c r="O143" i="3"/>
  <c r="P143" i="3"/>
  <c r="L144" i="3"/>
  <c r="M144" i="3"/>
  <c r="N144" i="3"/>
  <c r="O146" i="3"/>
  <c r="P146" i="3"/>
  <c r="L147" i="3"/>
  <c r="M147" i="3"/>
  <c r="P147" i="3" s="1"/>
  <c r="N147" i="3"/>
  <c r="N145" i="3" s="1"/>
  <c r="I150" i="3"/>
  <c r="K150" i="3" s="1"/>
  <c r="I151" i="3"/>
  <c r="K151" i="3" s="1"/>
  <c r="I152" i="3"/>
  <c r="K152" i="3" s="1"/>
  <c r="I153" i="3"/>
  <c r="I138" i="3" s="1"/>
  <c r="I154" i="3"/>
  <c r="I136" i="3" s="1"/>
  <c r="K136" i="3" s="1"/>
  <c r="J156" i="3"/>
  <c r="L158" i="3"/>
  <c r="M158" i="3"/>
  <c r="P158" i="3" s="1"/>
  <c r="N158" i="3"/>
  <c r="O158" i="3"/>
  <c r="O161" i="3"/>
  <c r="P161" i="3"/>
  <c r="L162" i="3"/>
  <c r="L160" i="3" s="1"/>
  <c r="M162" i="3"/>
  <c r="N162" i="3"/>
  <c r="N160" i="3" s="1"/>
  <c r="O164" i="3"/>
  <c r="P164" i="3"/>
  <c r="L165" i="3"/>
  <c r="M165" i="3"/>
  <c r="P165" i="3" s="1"/>
  <c r="N165" i="3"/>
  <c r="N163" i="3" s="1"/>
  <c r="I167" i="3"/>
  <c r="I156" i="3" s="1"/>
  <c r="K156" i="3" s="1"/>
  <c r="J172" i="3"/>
  <c r="L174" i="3"/>
  <c r="O174" i="3" s="1"/>
  <c r="M174" i="3"/>
  <c r="P174" i="3" s="1"/>
  <c r="N174" i="3"/>
  <c r="O177" i="3"/>
  <c r="P177" i="3"/>
  <c r="L178" i="3"/>
  <c r="L176" i="3" s="1"/>
  <c r="O176" i="3" s="1"/>
  <c r="M178" i="3"/>
  <c r="P178" i="3" s="1"/>
  <c r="N178" i="3"/>
  <c r="N176" i="3" s="1"/>
  <c r="O180" i="3"/>
  <c r="P180" i="3"/>
  <c r="L181" i="3"/>
  <c r="L179" i="3" s="1"/>
  <c r="O179" i="3" s="1"/>
  <c r="M181" i="3"/>
  <c r="M179" i="3" s="1"/>
  <c r="P179" i="3" s="1"/>
  <c r="N181" i="3"/>
  <c r="N179" i="3" s="1"/>
  <c r="I183" i="3"/>
  <c r="I172" i="3" s="1"/>
  <c r="K172" i="3" s="1"/>
  <c r="K184" i="3"/>
  <c r="L187" i="3"/>
  <c r="M187" i="3"/>
  <c r="N187" i="3"/>
  <c r="P187" i="3"/>
  <c r="O190" i="3"/>
  <c r="P190" i="3"/>
  <c r="L191" i="3"/>
  <c r="M191" i="3"/>
  <c r="N191" i="3"/>
  <c r="O193" i="3"/>
  <c r="P193" i="3"/>
  <c r="L194" i="3"/>
  <c r="O194" i="3" s="1"/>
  <c r="M194" i="3"/>
  <c r="P194" i="3" s="1"/>
  <c r="N194" i="3"/>
  <c r="N192" i="3" s="1"/>
  <c r="J195" i="3"/>
  <c r="L196" i="3"/>
  <c r="O196" i="3" s="1"/>
  <c r="P196" i="3"/>
  <c r="I198" i="3"/>
  <c r="K198" i="3" s="1"/>
  <c r="J199" i="3"/>
  <c r="J202" i="3"/>
  <c r="N203" i="3"/>
  <c r="P203" i="3"/>
  <c r="L204" i="3"/>
  <c r="L205" i="3"/>
  <c r="L206" i="3"/>
  <c r="L207" i="3"/>
  <c r="I209" i="3"/>
  <c r="I211" i="3"/>
  <c r="K211" i="3" s="1"/>
  <c r="I212" i="3"/>
  <c r="K212" i="3" s="1"/>
  <c r="J213" i="3"/>
  <c r="N214" i="3"/>
  <c r="P214" i="3"/>
  <c r="L215" i="3"/>
  <c r="L216" i="3"/>
  <c r="L217" i="3"/>
  <c r="I219" i="3"/>
  <c r="K219" i="3" s="1"/>
  <c r="I220" i="3"/>
  <c r="K220" i="3" s="1"/>
  <c r="J221" i="3"/>
  <c r="N222" i="3"/>
  <c r="P222" i="3"/>
  <c r="L223" i="3"/>
  <c r="L224" i="3"/>
  <c r="L225" i="3"/>
  <c r="I228" i="3"/>
  <c r="K228" i="3" s="1"/>
  <c r="I229" i="3"/>
  <c r="I221" i="3" s="1"/>
  <c r="I230" i="3"/>
  <c r="K230" i="3" s="1"/>
  <c r="N233" i="3"/>
  <c r="N234" i="3"/>
  <c r="N235" i="3"/>
  <c r="N236" i="3"/>
  <c r="J238" i="3"/>
  <c r="I240" i="3"/>
  <c r="K240" i="3" s="1"/>
  <c r="J240" i="3"/>
  <c r="I241" i="3"/>
  <c r="K241" i="3" s="1"/>
  <c r="J241" i="3"/>
  <c r="J242" i="3"/>
  <c r="J231" i="3" s="1"/>
  <c r="J185" i="3" s="1"/>
  <c r="N243" i="3"/>
  <c r="N232" i="3" s="1"/>
  <c r="P243" i="3"/>
  <c r="L244" i="3"/>
  <c r="L245" i="3"/>
  <c r="L246" i="3"/>
  <c r="L247" i="3"/>
  <c r="I249" i="3"/>
  <c r="K249" i="3" s="1"/>
  <c r="K251" i="3"/>
  <c r="K252" i="3"/>
  <c r="J253" i="3"/>
  <c r="N254" i="3"/>
  <c r="P254" i="3"/>
  <c r="L255" i="3"/>
  <c r="L256" i="3"/>
  <c r="L257" i="3"/>
  <c r="L258" i="3"/>
  <c r="I260" i="3"/>
  <c r="K262" i="3"/>
  <c r="K263" i="3"/>
  <c r="I265" i="3"/>
  <c r="K265" i="3" s="1"/>
  <c r="J265" i="3"/>
  <c r="L267" i="3"/>
  <c r="M267" i="3"/>
  <c r="N267" i="3"/>
  <c r="P267" i="3"/>
  <c r="O270" i="3"/>
  <c r="P270" i="3"/>
  <c r="L271" i="3"/>
  <c r="L269" i="3" s="1"/>
  <c r="O269" i="3" s="1"/>
  <c r="M271" i="3"/>
  <c r="P271" i="3" s="1"/>
  <c r="N271" i="3"/>
  <c r="O273" i="3"/>
  <c r="P273" i="3"/>
  <c r="L274" i="3"/>
  <c r="O274" i="3" s="1"/>
  <c r="M274" i="3"/>
  <c r="P274" i="3" s="1"/>
  <c r="N274" i="3"/>
  <c r="N272" i="3" s="1"/>
  <c r="J281" i="3"/>
  <c r="L283" i="3"/>
  <c r="O283" i="3" s="1"/>
  <c r="M283" i="3"/>
  <c r="P283" i="3" s="1"/>
  <c r="N283" i="3"/>
  <c r="O286" i="3"/>
  <c r="P286" i="3"/>
  <c r="L287" i="3"/>
  <c r="L285" i="3" s="1"/>
  <c r="O285" i="3" s="1"/>
  <c r="M287" i="3"/>
  <c r="M285" i="3" s="1"/>
  <c r="P285" i="3" s="1"/>
  <c r="N287" i="3"/>
  <c r="N285" i="3" s="1"/>
  <c r="O289" i="3"/>
  <c r="P289" i="3"/>
  <c r="L290" i="3"/>
  <c r="L288" i="3" s="1"/>
  <c r="O288" i="3" s="1"/>
  <c r="M290" i="3"/>
  <c r="P290" i="3" s="1"/>
  <c r="N290" i="3"/>
  <c r="N288" i="3" s="1"/>
  <c r="I292" i="3"/>
  <c r="I281" i="3" s="1"/>
  <c r="K281" i="3" s="1"/>
  <c r="I293" i="3"/>
  <c r="I280" i="3" s="1"/>
  <c r="K280" i="3" s="1"/>
  <c r="J293" i="3"/>
  <c r="J280" i="3" s="1"/>
  <c r="I295" i="3"/>
  <c r="K295" i="3" s="1"/>
  <c r="I296" i="3"/>
  <c r="K296" i="3" s="1"/>
  <c r="J302" i="3"/>
  <c r="L304" i="3"/>
  <c r="M304" i="3"/>
  <c r="P304" i="3" s="1"/>
  <c r="N304" i="3"/>
  <c r="O307" i="3"/>
  <c r="P307" i="3"/>
  <c r="L308" i="3"/>
  <c r="M308" i="3"/>
  <c r="P308" i="3" s="1"/>
  <c r="N308" i="3"/>
  <c r="N306" i="3" s="1"/>
  <c r="O310" i="3"/>
  <c r="P310" i="3"/>
  <c r="L311" i="3"/>
  <c r="L309" i="3" s="1"/>
  <c r="O309" i="3" s="1"/>
  <c r="M311" i="3"/>
  <c r="P311" i="3" s="1"/>
  <c r="N311" i="3"/>
  <c r="N309" i="3" s="1"/>
  <c r="I314" i="3"/>
  <c r="K314" i="3" s="1"/>
  <c r="I315" i="3"/>
  <c r="K315" i="3" s="1"/>
  <c r="I316" i="3"/>
  <c r="K316" i="3" s="1"/>
  <c r="I317" i="3"/>
  <c r="K317" i="3" s="1"/>
  <c r="J319" i="3"/>
  <c r="L321" i="3"/>
  <c r="M321" i="3"/>
  <c r="N321" i="3"/>
  <c r="O321" i="3"/>
  <c r="P321" i="3"/>
  <c r="O324" i="3"/>
  <c r="P324" i="3"/>
  <c r="L325" i="3"/>
  <c r="M325" i="3"/>
  <c r="M323" i="3" s="1"/>
  <c r="N325" i="3"/>
  <c r="O327" i="3"/>
  <c r="P327" i="3"/>
  <c r="L328" i="3"/>
  <c r="L326" i="3" s="1"/>
  <c r="O326" i="3" s="1"/>
  <c r="M328" i="3"/>
  <c r="M326" i="3" s="1"/>
  <c r="P326" i="3" s="1"/>
  <c r="N328" i="3"/>
  <c r="N326" i="3" s="1"/>
  <c r="I330" i="3"/>
  <c r="K330" i="3" s="1"/>
  <c r="L334" i="3"/>
  <c r="O334" i="3" s="1"/>
  <c r="M334" i="3"/>
  <c r="P334" i="3" s="1"/>
  <c r="N334" i="3"/>
  <c r="O337" i="3"/>
  <c r="P337" i="3"/>
  <c r="L338" i="3"/>
  <c r="M338" i="3"/>
  <c r="N338" i="3"/>
  <c r="N336" i="3" s="1"/>
  <c r="O340" i="3"/>
  <c r="P340" i="3"/>
  <c r="L341" i="3"/>
  <c r="L339" i="3" s="1"/>
  <c r="O339" i="3" s="1"/>
  <c r="M341" i="3"/>
  <c r="M339" i="3" s="1"/>
  <c r="P339" i="3" s="1"/>
  <c r="N341" i="3"/>
  <c r="N339" i="3" s="1"/>
  <c r="I344" i="3"/>
  <c r="J344" i="3"/>
  <c r="I346" i="3"/>
  <c r="J346" i="3"/>
  <c r="J347" i="3"/>
  <c r="J348" i="3"/>
  <c r="J349" i="3"/>
  <c r="D350" i="3"/>
  <c r="J352" i="3"/>
  <c r="J353" i="3"/>
  <c r="D354" i="3"/>
  <c r="L357" i="3"/>
  <c r="M357" i="3"/>
  <c r="P357" i="3" s="1"/>
  <c r="N357" i="3"/>
  <c r="O357" i="3"/>
  <c r="O360" i="3"/>
  <c r="P360" i="3"/>
  <c r="L361" i="3"/>
  <c r="L359" i="3" s="1"/>
  <c r="M361" i="3"/>
  <c r="M359" i="3" s="1"/>
  <c r="N361" i="3"/>
  <c r="N359" i="3" s="1"/>
  <c r="O363" i="3"/>
  <c r="P363" i="3"/>
  <c r="L364" i="3"/>
  <c r="L362" i="3" s="1"/>
  <c r="O362" i="3" s="1"/>
  <c r="M364" i="3"/>
  <c r="M362" i="3" s="1"/>
  <c r="P362" i="3" s="1"/>
  <c r="N364" i="3"/>
  <c r="N362" i="3" s="1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I376" i="3"/>
  <c r="J376" i="3"/>
  <c r="K376" i="3"/>
  <c r="L378" i="3"/>
  <c r="O378" i="3" s="1"/>
  <c r="M378" i="3"/>
  <c r="P378" i="3" s="1"/>
  <c r="N378" i="3"/>
  <c r="O381" i="3"/>
  <c r="P381" i="3"/>
  <c r="L382" i="3"/>
  <c r="O382" i="3" s="1"/>
  <c r="M382" i="3"/>
  <c r="P382" i="3" s="1"/>
  <c r="N382" i="3"/>
  <c r="N380" i="3" s="1"/>
  <c r="O384" i="3"/>
  <c r="P384" i="3"/>
  <c r="L385" i="3"/>
  <c r="L383" i="3" s="1"/>
  <c r="O383" i="3" s="1"/>
  <c r="M385" i="3"/>
  <c r="P385" i="3" s="1"/>
  <c r="N385" i="3"/>
  <c r="N383" i="3" s="1"/>
  <c r="K387" i="3"/>
  <c r="K388" i="3"/>
  <c r="A391" i="3"/>
  <c r="L22" i="2"/>
  <c r="O22" i="2" s="1"/>
  <c r="M22" i="2"/>
  <c r="N22" i="2"/>
  <c r="L25" i="2"/>
  <c r="L19" i="2" s="1"/>
  <c r="M25" i="2"/>
  <c r="N25" i="2"/>
  <c r="P25" i="2"/>
  <c r="L45" i="2"/>
  <c r="M45" i="2"/>
  <c r="P45" i="2" s="1"/>
  <c r="N45" i="2"/>
  <c r="O45" i="2"/>
  <c r="O48" i="2"/>
  <c r="P48" i="2"/>
  <c r="L49" i="2"/>
  <c r="L47" i="2" s="1"/>
  <c r="M49" i="2"/>
  <c r="M47" i="2" s="1"/>
  <c r="N49" i="2"/>
  <c r="N47" i="2" s="1"/>
  <c r="O51" i="2"/>
  <c r="P51" i="2"/>
  <c r="L52" i="2"/>
  <c r="L50" i="2" s="1"/>
  <c r="O50" i="2" s="1"/>
  <c r="M52" i="2"/>
  <c r="M50" i="2" s="1"/>
  <c r="P50" i="2" s="1"/>
  <c r="N52" i="2"/>
  <c r="N50" i="2" s="1"/>
  <c r="L60" i="2"/>
  <c r="M60" i="2"/>
  <c r="N60" i="2"/>
  <c r="O63" i="2"/>
  <c r="P63" i="2"/>
  <c r="L64" i="2"/>
  <c r="M64" i="2"/>
  <c r="N64" i="2"/>
  <c r="N62" i="2" s="1"/>
  <c r="O66" i="2"/>
  <c r="P66" i="2"/>
  <c r="L67" i="2"/>
  <c r="M67" i="2"/>
  <c r="M65" i="2" s="1"/>
  <c r="P65" i="2" s="1"/>
  <c r="N67" i="2"/>
  <c r="N65" i="2" s="1"/>
  <c r="J70" i="2"/>
  <c r="L73" i="2"/>
  <c r="O73" i="2" s="1"/>
  <c r="M73" i="2"/>
  <c r="N73" i="2"/>
  <c r="P73" i="2"/>
  <c r="O76" i="2"/>
  <c r="P76" i="2"/>
  <c r="L77" i="2"/>
  <c r="L75" i="2" s="1"/>
  <c r="O75" i="2" s="1"/>
  <c r="M77" i="2"/>
  <c r="M75" i="2" s="1"/>
  <c r="P75" i="2" s="1"/>
  <c r="N77" i="2"/>
  <c r="O79" i="2"/>
  <c r="P79" i="2"/>
  <c r="L80" i="2"/>
  <c r="L78" i="2" s="1"/>
  <c r="O78" i="2" s="1"/>
  <c r="M80" i="2"/>
  <c r="N80" i="2"/>
  <c r="N78" i="2" s="1"/>
  <c r="J82" i="2"/>
  <c r="J83" i="2"/>
  <c r="J71" i="2" s="1"/>
  <c r="I84" i="2"/>
  <c r="K84" i="2" s="1"/>
  <c r="I85" i="2"/>
  <c r="I86" i="2"/>
  <c r="I87" i="2"/>
  <c r="K87" i="2" s="1"/>
  <c r="I88" i="2"/>
  <c r="K88" i="2" s="1"/>
  <c r="I89" i="2"/>
  <c r="K89" i="2" s="1"/>
  <c r="I90" i="2"/>
  <c r="K90" i="2" s="1"/>
  <c r="J92" i="2"/>
  <c r="J93" i="2"/>
  <c r="L95" i="2"/>
  <c r="M95" i="2"/>
  <c r="P95" i="2" s="1"/>
  <c r="N95" i="2"/>
  <c r="O95" i="2"/>
  <c r="O98" i="2"/>
  <c r="P98" i="2"/>
  <c r="L99" i="2"/>
  <c r="O99" i="2" s="1"/>
  <c r="M99" i="2"/>
  <c r="M97" i="2" s="1"/>
  <c r="P97" i="2" s="1"/>
  <c r="N99" i="2"/>
  <c r="N97" i="2" s="1"/>
  <c r="O101" i="2"/>
  <c r="P101" i="2"/>
  <c r="L102" i="2"/>
  <c r="O102" i="2" s="1"/>
  <c r="M102" i="2"/>
  <c r="M100" i="2" s="1"/>
  <c r="P100" i="2" s="1"/>
  <c r="N102" i="2"/>
  <c r="N100" i="2" s="1"/>
  <c r="I108" i="2"/>
  <c r="I92" i="2" s="1"/>
  <c r="K92" i="2" s="1"/>
  <c r="I109" i="2"/>
  <c r="I93" i="2" s="1"/>
  <c r="K93" i="2" s="1"/>
  <c r="I117" i="2"/>
  <c r="K117" i="2" s="1"/>
  <c r="L126" i="2"/>
  <c r="O126" i="2" s="1"/>
  <c r="M126" i="2"/>
  <c r="P126" i="2" s="1"/>
  <c r="N126" i="2"/>
  <c r="O129" i="2"/>
  <c r="P129" i="2"/>
  <c r="L130" i="2"/>
  <c r="L128" i="2" s="1"/>
  <c r="O128" i="2" s="1"/>
  <c r="M130" i="2"/>
  <c r="N130" i="2"/>
  <c r="O132" i="2"/>
  <c r="P132" i="2"/>
  <c r="L133" i="2"/>
  <c r="O133" i="2" s="1"/>
  <c r="M133" i="2"/>
  <c r="N133" i="2"/>
  <c r="N131" i="2" s="1"/>
  <c r="J136" i="2"/>
  <c r="J137" i="2"/>
  <c r="J138" i="2"/>
  <c r="L140" i="2"/>
  <c r="O140" i="2" s="1"/>
  <c r="M140" i="2"/>
  <c r="P140" i="2" s="1"/>
  <c r="N140" i="2"/>
  <c r="O143" i="2"/>
  <c r="P143" i="2"/>
  <c r="L144" i="2"/>
  <c r="L142" i="2" s="1"/>
  <c r="O142" i="2" s="1"/>
  <c r="M144" i="2"/>
  <c r="N144" i="2"/>
  <c r="N142" i="2" s="1"/>
  <c r="O146" i="2"/>
  <c r="P146" i="2"/>
  <c r="L147" i="2"/>
  <c r="L145" i="2" s="1"/>
  <c r="O145" i="2" s="1"/>
  <c r="M147" i="2"/>
  <c r="N147" i="2"/>
  <c r="I150" i="2"/>
  <c r="K150" i="2" s="1"/>
  <c r="I151" i="2"/>
  <c r="K151" i="2" s="1"/>
  <c r="I152" i="2"/>
  <c r="K152" i="2" s="1"/>
  <c r="I153" i="2"/>
  <c r="I138" i="2" s="1"/>
  <c r="K138" i="2" s="1"/>
  <c r="I154" i="2"/>
  <c r="I136" i="2" s="1"/>
  <c r="K136" i="2" s="1"/>
  <c r="J156" i="2"/>
  <c r="L158" i="2"/>
  <c r="M158" i="2"/>
  <c r="P158" i="2" s="1"/>
  <c r="N158" i="2"/>
  <c r="O158" i="2"/>
  <c r="O161" i="2"/>
  <c r="P161" i="2"/>
  <c r="L162" i="2"/>
  <c r="M162" i="2"/>
  <c r="M160" i="2" s="1"/>
  <c r="P160" i="2" s="1"/>
  <c r="N162" i="2"/>
  <c r="O164" i="2"/>
  <c r="P164" i="2"/>
  <c r="L165" i="2"/>
  <c r="L163" i="2" s="1"/>
  <c r="O163" i="2" s="1"/>
  <c r="M165" i="2"/>
  <c r="M163" i="2" s="1"/>
  <c r="P163" i="2" s="1"/>
  <c r="N165" i="2"/>
  <c r="N163" i="2" s="1"/>
  <c r="I167" i="2"/>
  <c r="K167" i="2" s="1"/>
  <c r="I168" i="2"/>
  <c r="K168" i="2" s="1"/>
  <c r="I169" i="2"/>
  <c r="K169" i="2" s="1"/>
  <c r="J172" i="2"/>
  <c r="L174" i="2"/>
  <c r="O174" i="2" s="1"/>
  <c r="M174" i="2"/>
  <c r="N174" i="2"/>
  <c r="P174" i="2"/>
  <c r="O177" i="2"/>
  <c r="P177" i="2"/>
  <c r="L178" i="2"/>
  <c r="M178" i="2"/>
  <c r="M176" i="2" s="1"/>
  <c r="N178" i="2"/>
  <c r="O180" i="2"/>
  <c r="P180" i="2"/>
  <c r="L181" i="2"/>
  <c r="M181" i="2"/>
  <c r="M179" i="2" s="1"/>
  <c r="P179" i="2" s="1"/>
  <c r="N181" i="2"/>
  <c r="N179" i="2" s="1"/>
  <c r="I183" i="2"/>
  <c r="K183" i="2" s="1"/>
  <c r="K184" i="2"/>
  <c r="L187" i="2"/>
  <c r="O187" i="2" s="1"/>
  <c r="M187" i="2"/>
  <c r="N187" i="2"/>
  <c r="O190" i="2"/>
  <c r="P190" i="2"/>
  <c r="L191" i="2"/>
  <c r="M191" i="2"/>
  <c r="N191" i="2"/>
  <c r="N189" i="2" s="1"/>
  <c r="O193" i="2"/>
  <c r="P193" i="2"/>
  <c r="L194" i="2"/>
  <c r="M194" i="2"/>
  <c r="P194" i="2" s="1"/>
  <c r="N194" i="2"/>
  <c r="N192" i="2" s="1"/>
  <c r="J195" i="2"/>
  <c r="L196" i="2"/>
  <c r="O196" i="2" s="1"/>
  <c r="P196" i="2"/>
  <c r="I198" i="2"/>
  <c r="I195" i="2" s="1"/>
  <c r="K195" i="2" s="1"/>
  <c r="J199" i="2"/>
  <c r="J202" i="2"/>
  <c r="N203" i="2"/>
  <c r="P203" i="2"/>
  <c r="L204" i="2"/>
  <c r="L205" i="2"/>
  <c r="L206" i="2"/>
  <c r="L207" i="2"/>
  <c r="I209" i="2"/>
  <c r="K209" i="2" s="1"/>
  <c r="I211" i="2"/>
  <c r="K211" i="2" s="1"/>
  <c r="I212" i="2"/>
  <c r="K212" i="2" s="1"/>
  <c r="J213" i="2"/>
  <c r="N214" i="2"/>
  <c r="P214" i="2"/>
  <c r="L215" i="2"/>
  <c r="L216" i="2"/>
  <c r="L217" i="2"/>
  <c r="I219" i="2"/>
  <c r="K219" i="2" s="1"/>
  <c r="I220" i="2"/>
  <c r="K220" i="2" s="1"/>
  <c r="J221" i="2"/>
  <c r="N222" i="2"/>
  <c r="P222" i="2"/>
  <c r="L223" i="2"/>
  <c r="L224" i="2"/>
  <c r="L225" i="2"/>
  <c r="I228" i="2"/>
  <c r="K228" i="2" s="1"/>
  <c r="I229" i="2"/>
  <c r="I221" i="2" s="1"/>
  <c r="K221" i="2" s="1"/>
  <c r="I230" i="2"/>
  <c r="K230" i="2" s="1"/>
  <c r="N233" i="2"/>
  <c r="N234" i="2"/>
  <c r="N235" i="2"/>
  <c r="N236" i="2"/>
  <c r="J238" i="2"/>
  <c r="I240" i="2"/>
  <c r="K240" i="2" s="1"/>
  <c r="J240" i="2"/>
  <c r="I241" i="2"/>
  <c r="K241" i="2" s="1"/>
  <c r="J241" i="2"/>
  <c r="J242" i="2"/>
  <c r="N243" i="2"/>
  <c r="N232" i="2" s="1"/>
  <c r="P243" i="2"/>
  <c r="L244" i="2"/>
  <c r="L245" i="2"/>
  <c r="L246" i="2"/>
  <c r="L247" i="2"/>
  <c r="I249" i="2"/>
  <c r="I242" i="2" s="1"/>
  <c r="K242" i="2" s="1"/>
  <c r="K251" i="2"/>
  <c r="K252" i="2"/>
  <c r="J253" i="2"/>
  <c r="J231" i="2" s="1"/>
  <c r="J185" i="2" s="1"/>
  <c r="N254" i="2"/>
  <c r="P254" i="2"/>
  <c r="L255" i="2"/>
  <c r="L256" i="2"/>
  <c r="L257" i="2"/>
  <c r="L258" i="2"/>
  <c r="I260" i="2"/>
  <c r="K260" i="2" s="1"/>
  <c r="K262" i="2"/>
  <c r="K263" i="2"/>
  <c r="I265" i="2"/>
  <c r="K265" i="2" s="1"/>
  <c r="J265" i="2"/>
  <c r="L267" i="2"/>
  <c r="O267" i="2" s="1"/>
  <c r="M267" i="2"/>
  <c r="N267" i="2"/>
  <c r="O270" i="2"/>
  <c r="P270" i="2"/>
  <c r="L271" i="2"/>
  <c r="M271" i="2"/>
  <c r="P271" i="2" s="1"/>
  <c r="N271" i="2"/>
  <c r="N269" i="2" s="1"/>
  <c r="O273" i="2"/>
  <c r="P273" i="2"/>
  <c r="L274" i="2"/>
  <c r="M274" i="2"/>
  <c r="P274" i="2" s="1"/>
  <c r="N274" i="2"/>
  <c r="J280" i="2"/>
  <c r="J281" i="2"/>
  <c r="L283" i="2"/>
  <c r="M283" i="2"/>
  <c r="P283" i="2" s="1"/>
  <c r="N283" i="2"/>
  <c r="O283" i="2"/>
  <c r="O286" i="2"/>
  <c r="P286" i="2"/>
  <c r="L287" i="2"/>
  <c r="L285" i="2" s="1"/>
  <c r="O285" i="2" s="1"/>
  <c r="M287" i="2"/>
  <c r="M285" i="2" s="1"/>
  <c r="P285" i="2" s="1"/>
  <c r="N287" i="2"/>
  <c r="N285" i="2" s="1"/>
  <c r="O289" i="2"/>
  <c r="P289" i="2"/>
  <c r="L290" i="2"/>
  <c r="O290" i="2" s="1"/>
  <c r="M290" i="2"/>
  <c r="M288" i="2" s="1"/>
  <c r="P288" i="2" s="1"/>
  <c r="N290" i="2"/>
  <c r="N288" i="2" s="1"/>
  <c r="I292" i="2"/>
  <c r="K292" i="2" s="1"/>
  <c r="I293" i="2"/>
  <c r="J293" i="2"/>
  <c r="I295" i="2"/>
  <c r="K295" i="2" s="1"/>
  <c r="I296" i="2"/>
  <c r="K296" i="2" s="1"/>
  <c r="J302" i="2"/>
  <c r="L304" i="2"/>
  <c r="O304" i="2" s="1"/>
  <c r="M304" i="2"/>
  <c r="N304" i="2"/>
  <c r="O307" i="2"/>
  <c r="P307" i="2"/>
  <c r="L308" i="2"/>
  <c r="M308" i="2"/>
  <c r="P308" i="2" s="1"/>
  <c r="N308" i="2"/>
  <c r="N306" i="2" s="1"/>
  <c r="O310" i="2"/>
  <c r="P310" i="2"/>
  <c r="L311" i="2"/>
  <c r="M311" i="2"/>
  <c r="P311" i="2" s="1"/>
  <c r="N311" i="2"/>
  <c r="N309" i="2" s="1"/>
  <c r="I314" i="2"/>
  <c r="I302" i="2" s="1"/>
  <c r="K302" i="2" s="1"/>
  <c r="I315" i="2"/>
  <c r="K315" i="2" s="1"/>
  <c r="I316" i="2"/>
  <c r="K316" i="2" s="1"/>
  <c r="I317" i="2"/>
  <c r="K317" i="2" s="1"/>
  <c r="J319" i="2"/>
  <c r="L321" i="2"/>
  <c r="O321" i="2" s="1"/>
  <c r="M321" i="2"/>
  <c r="N321" i="2"/>
  <c r="P321" i="2"/>
  <c r="O324" i="2"/>
  <c r="P324" i="2"/>
  <c r="L325" i="2"/>
  <c r="M325" i="2"/>
  <c r="M323" i="2" s="1"/>
  <c r="N325" i="2"/>
  <c r="N323" i="2" s="1"/>
  <c r="O327" i="2"/>
  <c r="P327" i="2"/>
  <c r="L328" i="2"/>
  <c r="O328" i="2" s="1"/>
  <c r="M328" i="2"/>
  <c r="M326" i="2" s="1"/>
  <c r="P326" i="2" s="1"/>
  <c r="N328" i="2"/>
  <c r="N326" i="2" s="1"/>
  <c r="I330" i="2"/>
  <c r="K330" i="2" s="1"/>
  <c r="L334" i="2"/>
  <c r="O334" i="2" s="1"/>
  <c r="M334" i="2"/>
  <c r="N334" i="2"/>
  <c r="O337" i="2"/>
  <c r="P337" i="2"/>
  <c r="L338" i="2"/>
  <c r="M338" i="2"/>
  <c r="N338" i="2"/>
  <c r="N336" i="2" s="1"/>
  <c r="O340" i="2"/>
  <c r="P340" i="2"/>
  <c r="L341" i="2"/>
  <c r="M341" i="2"/>
  <c r="P341" i="2" s="1"/>
  <c r="N341" i="2"/>
  <c r="N339" i="2" s="1"/>
  <c r="I344" i="2"/>
  <c r="I332" i="2" s="1"/>
  <c r="J344" i="2"/>
  <c r="I346" i="2"/>
  <c r="J346" i="2"/>
  <c r="J347" i="2"/>
  <c r="J348" i="2"/>
  <c r="J349" i="2"/>
  <c r="D350" i="2"/>
  <c r="J352" i="2"/>
  <c r="J353" i="2"/>
  <c r="D354" i="2"/>
  <c r="L357" i="2"/>
  <c r="M357" i="2"/>
  <c r="N357" i="2"/>
  <c r="O360" i="2"/>
  <c r="P360" i="2"/>
  <c r="L361" i="2"/>
  <c r="L359" i="2" s="1"/>
  <c r="M361" i="2"/>
  <c r="N361" i="2"/>
  <c r="N359" i="2" s="1"/>
  <c r="O363" i="2"/>
  <c r="P363" i="2"/>
  <c r="L364" i="2"/>
  <c r="O364" i="2" s="1"/>
  <c r="M364" i="2"/>
  <c r="P364" i="2" s="1"/>
  <c r="N364" i="2"/>
  <c r="N362" i="2" s="1"/>
  <c r="J367" i="2"/>
  <c r="K367" i="2"/>
  <c r="I368" i="2"/>
  <c r="J368" i="2"/>
  <c r="I369" i="2"/>
  <c r="J369" i="2"/>
  <c r="J370" i="2"/>
  <c r="K370" i="2"/>
  <c r="I371" i="2"/>
  <c r="I365" i="2" s="1"/>
  <c r="J371" i="2"/>
  <c r="J365" i="2" s="1"/>
  <c r="J372" i="2"/>
  <c r="K372" i="2"/>
  <c r="D373" i="2"/>
  <c r="I376" i="2"/>
  <c r="K376" i="2" s="1"/>
  <c r="J376" i="2"/>
  <c r="L378" i="2"/>
  <c r="O378" i="2" s="1"/>
  <c r="M378" i="2"/>
  <c r="N378" i="2"/>
  <c r="P378" i="2"/>
  <c r="O381" i="2"/>
  <c r="P381" i="2"/>
  <c r="L382" i="2"/>
  <c r="M382" i="2"/>
  <c r="N382" i="2"/>
  <c r="O384" i="2"/>
  <c r="P384" i="2"/>
  <c r="L385" i="2"/>
  <c r="L383" i="2" s="1"/>
  <c r="M385" i="2"/>
  <c r="M383" i="2" s="1"/>
  <c r="P383" i="2" s="1"/>
  <c r="N385" i="2"/>
  <c r="N383" i="2" s="1"/>
  <c r="K387" i="2"/>
  <c r="K388" i="2"/>
  <c r="A391" i="2"/>
  <c r="A391" i="1"/>
  <c r="K388" i="1"/>
  <c r="K387" i="1"/>
  <c r="N385" i="1"/>
  <c r="M385" i="1"/>
  <c r="P385" i="1" s="1"/>
  <c r="L385" i="1"/>
  <c r="N384" i="1"/>
  <c r="M384" i="1"/>
  <c r="P384" i="1" s="1"/>
  <c r="L384" i="1"/>
  <c r="O384" i="1" s="1"/>
  <c r="N382" i="1"/>
  <c r="M382" i="1"/>
  <c r="L382" i="1"/>
  <c r="N381" i="1"/>
  <c r="M381" i="1"/>
  <c r="P381" i="1" s="1"/>
  <c r="L381" i="1"/>
  <c r="O381" i="1" s="1"/>
  <c r="J376" i="1"/>
  <c r="I376" i="1"/>
  <c r="K376" i="1" s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P363" i="1" s="1"/>
  <c r="L363" i="1"/>
  <c r="N361" i="1"/>
  <c r="M361" i="1"/>
  <c r="L361" i="1"/>
  <c r="L358" i="1" s="1"/>
  <c r="N360" i="1"/>
  <c r="M360" i="1"/>
  <c r="P360" i="1" s="1"/>
  <c r="L360" i="1"/>
  <c r="D354" i="1"/>
  <c r="J353" i="1"/>
  <c r="J352" i="1"/>
  <c r="D350" i="1"/>
  <c r="J349" i="1"/>
  <c r="J348" i="1"/>
  <c r="J347" i="1"/>
  <c r="J346" i="1"/>
  <c r="I346" i="1"/>
  <c r="J344" i="1"/>
  <c r="I344" i="1"/>
  <c r="N341" i="1"/>
  <c r="M341" i="1"/>
  <c r="P341" i="1" s="1"/>
  <c r="L341" i="1"/>
  <c r="O341" i="1" s="1"/>
  <c r="N340" i="1"/>
  <c r="M340" i="1"/>
  <c r="P340" i="1" s="1"/>
  <c r="L340" i="1"/>
  <c r="N338" i="1"/>
  <c r="M338" i="1"/>
  <c r="L338" i="1"/>
  <c r="N337" i="1"/>
  <c r="M337" i="1"/>
  <c r="P337" i="1" s="1"/>
  <c r="L337" i="1"/>
  <c r="J330" i="1"/>
  <c r="J319" i="1" s="1"/>
  <c r="I330" i="1"/>
  <c r="I319" i="1" s="1"/>
  <c r="N328" i="1"/>
  <c r="M328" i="1"/>
  <c r="L328" i="1"/>
  <c r="O328" i="1" s="1"/>
  <c r="N327" i="1"/>
  <c r="M327" i="1"/>
  <c r="P327" i="1" s="1"/>
  <c r="L327" i="1"/>
  <c r="N325" i="1"/>
  <c r="N322" i="1" s="1"/>
  <c r="M325" i="1"/>
  <c r="L325" i="1"/>
  <c r="N324" i="1"/>
  <c r="M324" i="1"/>
  <c r="L324" i="1"/>
  <c r="O324" i="1" s="1"/>
  <c r="J317" i="1"/>
  <c r="I317" i="1"/>
  <c r="J316" i="1"/>
  <c r="I316" i="1"/>
  <c r="J315" i="1"/>
  <c r="I315" i="1"/>
  <c r="J314" i="1"/>
  <c r="J302" i="1" s="1"/>
  <c r="I314" i="1"/>
  <c r="I302" i="1" s="1"/>
  <c r="J313" i="1"/>
  <c r="N311" i="1"/>
  <c r="M311" i="1"/>
  <c r="P311" i="1" s="1"/>
  <c r="L311" i="1"/>
  <c r="O311" i="1" s="1"/>
  <c r="N310" i="1"/>
  <c r="M310" i="1"/>
  <c r="L310" i="1"/>
  <c r="N308" i="1"/>
  <c r="M308" i="1"/>
  <c r="L308" i="1"/>
  <c r="N307" i="1"/>
  <c r="N304" i="1" s="1"/>
  <c r="M307" i="1"/>
  <c r="P307" i="1" s="1"/>
  <c r="L307" i="1"/>
  <c r="O307" i="1" s="1"/>
  <c r="J296" i="1"/>
  <c r="I296" i="1"/>
  <c r="J295" i="1"/>
  <c r="I295" i="1"/>
  <c r="J293" i="1"/>
  <c r="J280" i="1" s="1"/>
  <c r="I293" i="1"/>
  <c r="I280" i="1" s="1"/>
  <c r="J292" i="1"/>
  <c r="J281" i="1" s="1"/>
  <c r="I292" i="1"/>
  <c r="I281" i="1" s="1"/>
  <c r="N290" i="1"/>
  <c r="M290" i="1"/>
  <c r="P290" i="1" s="1"/>
  <c r="L290" i="1"/>
  <c r="O290" i="1" s="1"/>
  <c r="N289" i="1"/>
  <c r="M289" i="1"/>
  <c r="L289" i="1"/>
  <c r="N287" i="1"/>
  <c r="M287" i="1"/>
  <c r="L287" i="1"/>
  <c r="N286" i="1"/>
  <c r="M286" i="1"/>
  <c r="L286" i="1"/>
  <c r="O286" i="1" s="1"/>
  <c r="N274" i="1"/>
  <c r="M274" i="1"/>
  <c r="P274" i="1" s="1"/>
  <c r="L274" i="1"/>
  <c r="O274" i="1" s="1"/>
  <c r="N273" i="1"/>
  <c r="M273" i="1"/>
  <c r="P273" i="1" s="1"/>
  <c r="L273" i="1"/>
  <c r="O273" i="1" s="1"/>
  <c r="N271" i="1"/>
  <c r="M271" i="1"/>
  <c r="P271" i="1" s="1"/>
  <c r="L271" i="1"/>
  <c r="L268" i="1" s="1"/>
  <c r="O268" i="1" s="1"/>
  <c r="N270" i="1"/>
  <c r="M270" i="1"/>
  <c r="L270" i="1"/>
  <c r="O270" i="1" s="1"/>
  <c r="K265" i="1"/>
  <c r="K241" i="1"/>
  <c r="J241" i="1"/>
  <c r="K240" i="1"/>
  <c r="J240" i="1"/>
  <c r="J238" i="1"/>
  <c r="I238" i="1"/>
  <c r="N236" i="1"/>
  <c r="L236" i="1"/>
  <c r="N235" i="1"/>
  <c r="L235" i="1"/>
  <c r="N234" i="1"/>
  <c r="L234" i="1"/>
  <c r="N233" i="1"/>
  <c r="L233" i="1"/>
  <c r="K231" i="1"/>
  <c r="J231" i="1"/>
  <c r="I231" i="1"/>
  <c r="J230" i="1"/>
  <c r="J185" i="1" s="1"/>
  <c r="I230" i="1"/>
  <c r="K230" i="1" s="1"/>
  <c r="J229" i="1"/>
  <c r="I229" i="1"/>
  <c r="I221" i="1" s="1"/>
  <c r="J228" i="1"/>
  <c r="I228" i="1"/>
  <c r="N224" i="1"/>
  <c r="L224" i="1"/>
  <c r="N223" i="1"/>
  <c r="L223" i="1"/>
  <c r="J220" i="1"/>
  <c r="J213" i="1" s="1"/>
  <c r="I220" i="1"/>
  <c r="I213" i="1" s="1"/>
  <c r="J219" i="1"/>
  <c r="I219" i="1"/>
  <c r="N217" i="1"/>
  <c r="L217" i="1"/>
  <c r="N216" i="1"/>
  <c r="L216" i="1"/>
  <c r="N215" i="1"/>
  <c r="L215" i="1"/>
  <c r="K212" i="1"/>
  <c r="J212" i="1"/>
  <c r="K211" i="1"/>
  <c r="J211" i="1"/>
  <c r="J209" i="1"/>
  <c r="J202" i="1" s="1"/>
  <c r="I209" i="1"/>
  <c r="N207" i="1"/>
  <c r="L207" i="1"/>
  <c r="N206" i="1"/>
  <c r="L206" i="1"/>
  <c r="N204" i="1"/>
  <c r="L204" i="1"/>
  <c r="J201" i="1"/>
  <c r="J200" i="1"/>
  <c r="J198" i="1"/>
  <c r="J195" i="1" s="1"/>
  <c r="I198" i="1"/>
  <c r="N196" i="1"/>
  <c r="L196" i="1"/>
  <c r="N194" i="1"/>
  <c r="M194" i="1"/>
  <c r="P194" i="1" s="1"/>
  <c r="L194" i="1"/>
  <c r="O194" i="1" s="1"/>
  <c r="N193" i="1"/>
  <c r="M193" i="1"/>
  <c r="L193" i="1"/>
  <c r="O193" i="1" s="1"/>
  <c r="N191" i="1"/>
  <c r="M191" i="1"/>
  <c r="L191" i="1"/>
  <c r="N190" i="1"/>
  <c r="M190" i="1"/>
  <c r="P190" i="1" s="1"/>
  <c r="L190" i="1"/>
  <c r="O190" i="1" s="1"/>
  <c r="K184" i="1"/>
  <c r="J183" i="1"/>
  <c r="J172" i="1" s="1"/>
  <c r="I183" i="1"/>
  <c r="I172" i="1" s="1"/>
  <c r="N181" i="1"/>
  <c r="M181" i="1"/>
  <c r="P181" i="1" s="1"/>
  <c r="L181" i="1"/>
  <c r="N180" i="1"/>
  <c r="M180" i="1"/>
  <c r="L180" i="1"/>
  <c r="O180" i="1" s="1"/>
  <c r="N178" i="1"/>
  <c r="N175" i="1" s="1"/>
  <c r="M178" i="1"/>
  <c r="L178" i="1"/>
  <c r="L175" i="1" s="1"/>
  <c r="N177" i="1"/>
  <c r="M177" i="1"/>
  <c r="P177" i="1" s="1"/>
  <c r="L177" i="1"/>
  <c r="O177" i="1" s="1"/>
  <c r="J167" i="1"/>
  <c r="I167" i="1"/>
  <c r="I168" i="1" s="1"/>
  <c r="N165" i="1"/>
  <c r="M165" i="1"/>
  <c r="L165" i="1"/>
  <c r="O165" i="1" s="1"/>
  <c r="N164" i="1"/>
  <c r="M164" i="1"/>
  <c r="P164" i="1" s="1"/>
  <c r="L164" i="1"/>
  <c r="N162" i="1"/>
  <c r="M162" i="1"/>
  <c r="P162" i="1" s="1"/>
  <c r="L162" i="1"/>
  <c r="N161" i="1"/>
  <c r="M161" i="1"/>
  <c r="M158" i="1" s="1"/>
  <c r="P158" i="1" s="1"/>
  <c r="L161" i="1"/>
  <c r="O161" i="1" s="1"/>
  <c r="J156" i="1"/>
  <c r="J154" i="1"/>
  <c r="I154" i="1"/>
  <c r="I136" i="1" s="1"/>
  <c r="J153" i="1"/>
  <c r="J138" i="1" s="1"/>
  <c r="I153" i="1"/>
  <c r="J152" i="1"/>
  <c r="J137" i="1" s="1"/>
  <c r="I152" i="1"/>
  <c r="I137" i="1" s="1"/>
  <c r="J151" i="1"/>
  <c r="I151" i="1"/>
  <c r="J150" i="1"/>
  <c r="I150" i="1"/>
  <c r="J149" i="1"/>
  <c r="N147" i="1"/>
  <c r="M147" i="1"/>
  <c r="P147" i="1" s="1"/>
  <c r="L147" i="1"/>
  <c r="O147" i="1" s="1"/>
  <c r="N146" i="1"/>
  <c r="M146" i="1"/>
  <c r="P146" i="1" s="1"/>
  <c r="L146" i="1"/>
  <c r="N144" i="1"/>
  <c r="M144" i="1"/>
  <c r="L144" i="1"/>
  <c r="L141" i="1" s="1"/>
  <c r="N143" i="1"/>
  <c r="N140" i="1" s="1"/>
  <c r="M143" i="1"/>
  <c r="L143" i="1"/>
  <c r="O143" i="1" s="1"/>
  <c r="N133" i="1"/>
  <c r="M133" i="1"/>
  <c r="P133" i="1" s="1"/>
  <c r="L133" i="1"/>
  <c r="O133" i="1" s="1"/>
  <c r="N132" i="1"/>
  <c r="M132" i="1"/>
  <c r="P132" i="1" s="1"/>
  <c r="L132" i="1"/>
  <c r="O132" i="1" s="1"/>
  <c r="N130" i="1"/>
  <c r="M130" i="1"/>
  <c r="P130" i="1" s="1"/>
  <c r="L130" i="1"/>
  <c r="N129" i="1"/>
  <c r="M129" i="1"/>
  <c r="L129" i="1"/>
  <c r="O129" i="1" s="1"/>
  <c r="J117" i="1"/>
  <c r="I117" i="1"/>
  <c r="K117" i="1" s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J93" i="1" s="1"/>
  <c r="I109" i="1"/>
  <c r="I93" i="1" s="1"/>
  <c r="K93" i="1" s="1"/>
  <c r="J108" i="1"/>
  <c r="J92" i="1" s="1"/>
  <c r="I108" i="1"/>
  <c r="I92" i="1" s="1"/>
  <c r="K92" i="1" s="1"/>
  <c r="N102" i="1"/>
  <c r="M102" i="1"/>
  <c r="P102" i="1" s="1"/>
  <c r="L102" i="1"/>
  <c r="O102" i="1" s="1"/>
  <c r="N101" i="1"/>
  <c r="M101" i="1"/>
  <c r="P101" i="1" s="1"/>
  <c r="L101" i="1"/>
  <c r="O101" i="1" s="1"/>
  <c r="N99" i="1"/>
  <c r="M99" i="1"/>
  <c r="P99" i="1" s="1"/>
  <c r="L99" i="1"/>
  <c r="N98" i="1"/>
  <c r="M98" i="1"/>
  <c r="P98" i="1" s="1"/>
  <c r="L98" i="1"/>
  <c r="O98" i="1" s="1"/>
  <c r="J90" i="1"/>
  <c r="I90" i="1"/>
  <c r="J89" i="1"/>
  <c r="I89" i="1"/>
  <c r="J88" i="1"/>
  <c r="I88" i="1"/>
  <c r="J87" i="1"/>
  <c r="I87" i="1"/>
  <c r="K87" i="1" s="1"/>
  <c r="J86" i="1"/>
  <c r="I86" i="1"/>
  <c r="K86" i="1" s="1"/>
  <c r="J85" i="1"/>
  <c r="I85" i="1"/>
  <c r="K85" i="1" s="1"/>
  <c r="J84" i="1"/>
  <c r="I84" i="1"/>
  <c r="K84" i="1" s="1"/>
  <c r="N80" i="1"/>
  <c r="M80" i="1"/>
  <c r="P80" i="1" s="1"/>
  <c r="L80" i="1"/>
  <c r="O80" i="1" s="1"/>
  <c r="N79" i="1"/>
  <c r="M79" i="1"/>
  <c r="L79" i="1"/>
  <c r="O79" i="1" s="1"/>
  <c r="N77" i="1"/>
  <c r="M77" i="1"/>
  <c r="L77" i="1"/>
  <c r="N76" i="1"/>
  <c r="M76" i="1"/>
  <c r="P76" i="1" s="1"/>
  <c r="L76" i="1"/>
  <c r="N67" i="1"/>
  <c r="M67" i="1"/>
  <c r="P67" i="1" s="1"/>
  <c r="L67" i="1"/>
  <c r="O67" i="1" s="1"/>
  <c r="N66" i="1"/>
  <c r="M66" i="1"/>
  <c r="L66" i="1"/>
  <c r="O66" i="1" s="1"/>
  <c r="N64" i="1"/>
  <c r="M64" i="1"/>
  <c r="L64" i="1"/>
  <c r="N63" i="1"/>
  <c r="M63" i="1"/>
  <c r="P63" i="1" s="1"/>
  <c r="L63" i="1"/>
  <c r="O63" i="1" s="1"/>
  <c r="N55" i="1"/>
  <c r="N29" i="1" s="1"/>
  <c r="M55" i="1"/>
  <c r="P55" i="1" s="1"/>
  <c r="L55" i="1"/>
  <c r="O55" i="1" s="1"/>
  <c r="N54" i="1"/>
  <c r="M54" i="1"/>
  <c r="L54" i="1"/>
  <c r="O54" i="1" s="1"/>
  <c r="N52" i="1"/>
  <c r="M52" i="1"/>
  <c r="L52" i="1"/>
  <c r="O52" i="1" s="1"/>
  <c r="N51" i="1"/>
  <c r="M51" i="1"/>
  <c r="P51" i="1" s="1"/>
  <c r="L51" i="1"/>
  <c r="O51" i="1" s="1"/>
  <c r="N49" i="1"/>
  <c r="M49" i="1"/>
  <c r="L49" i="1"/>
  <c r="N48" i="1"/>
  <c r="M48" i="1"/>
  <c r="L48" i="1"/>
  <c r="O48" i="1" s="1"/>
  <c r="O285" i="15" l="1"/>
  <c r="J351" i="15"/>
  <c r="K346" i="15"/>
  <c r="L233" i="15"/>
  <c r="O64" i="15"/>
  <c r="P144" i="14"/>
  <c r="P311" i="15"/>
  <c r="K109" i="15"/>
  <c r="K344" i="15"/>
  <c r="O176" i="15"/>
  <c r="L188" i="15"/>
  <c r="L186" i="15" s="1"/>
  <c r="K369" i="13"/>
  <c r="K368" i="14"/>
  <c r="O311" i="15"/>
  <c r="O382" i="15"/>
  <c r="P130" i="15"/>
  <c r="P364" i="15"/>
  <c r="K330" i="15"/>
  <c r="P271" i="15"/>
  <c r="I168" i="15"/>
  <c r="K168" i="15" s="1"/>
  <c r="L145" i="14"/>
  <c r="O145" i="14" s="1"/>
  <c r="K369" i="15"/>
  <c r="N358" i="15"/>
  <c r="N356" i="15" s="1"/>
  <c r="J343" i="15"/>
  <c r="M326" i="15"/>
  <c r="P326" i="15" s="1"/>
  <c r="L305" i="15"/>
  <c r="L303" i="15" s="1"/>
  <c r="K292" i="15"/>
  <c r="O271" i="15"/>
  <c r="P287" i="15"/>
  <c r="I213" i="15"/>
  <c r="K213" i="15" s="1"/>
  <c r="I202" i="15"/>
  <c r="K202" i="15" s="1"/>
  <c r="P194" i="15"/>
  <c r="O142" i="15"/>
  <c r="P325" i="15"/>
  <c r="O194" i="15"/>
  <c r="L189" i="15"/>
  <c r="O189" i="15" s="1"/>
  <c r="L65" i="15"/>
  <c r="O65" i="15" s="1"/>
  <c r="K198" i="14"/>
  <c r="L335" i="15"/>
  <c r="L333" i="15" s="1"/>
  <c r="N305" i="15"/>
  <c r="N303" i="15" s="1"/>
  <c r="I221" i="15"/>
  <c r="K221" i="15" s="1"/>
  <c r="L214" i="15"/>
  <c r="O214" i="15" s="1"/>
  <c r="L96" i="15"/>
  <c r="O96" i="15" s="1"/>
  <c r="L74" i="15"/>
  <c r="O74" i="15" s="1"/>
  <c r="P306" i="15"/>
  <c r="P144" i="15"/>
  <c r="P189" i="15"/>
  <c r="P385" i="15"/>
  <c r="N379" i="15"/>
  <c r="N377" i="15" s="1"/>
  <c r="N380" i="15"/>
  <c r="N322" i="15"/>
  <c r="N320" i="15" s="1"/>
  <c r="L236" i="15"/>
  <c r="P191" i="15"/>
  <c r="P178" i="15"/>
  <c r="K153" i="15"/>
  <c r="P147" i="15"/>
  <c r="P133" i="15"/>
  <c r="N127" i="15"/>
  <c r="N125" i="15" s="1"/>
  <c r="O102" i="15"/>
  <c r="L61" i="15"/>
  <c r="O385" i="15"/>
  <c r="M379" i="15"/>
  <c r="M380" i="15"/>
  <c r="P380" i="15" s="1"/>
  <c r="L358" i="15"/>
  <c r="L356" i="15" s="1"/>
  <c r="P341" i="15"/>
  <c r="L339" i="15"/>
  <c r="O339" i="15" s="1"/>
  <c r="P308" i="15"/>
  <c r="P274" i="15"/>
  <c r="L235" i="15"/>
  <c r="L222" i="15"/>
  <c r="O222" i="15" s="1"/>
  <c r="O191" i="15"/>
  <c r="L131" i="15"/>
  <c r="O131" i="15" s="1"/>
  <c r="P126" i="15"/>
  <c r="P80" i="15"/>
  <c r="I136" i="15"/>
  <c r="K136" i="15" s="1"/>
  <c r="P338" i="15"/>
  <c r="L336" i="15"/>
  <c r="O336" i="15" s="1"/>
  <c r="I332" i="15"/>
  <c r="O308" i="15"/>
  <c r="O274" i="15"/>
  <c r="L268" i="15"/>
  <c r="O268" i="15" s="1"/>
  <c r="P142" i="15"/>
  <c r="O99" i="15"/>
  <c r="N188" i="15"/>
  <c r="N186" i="15" s="1"/>
  <c r="I83" i="15"/>
  <c r="I71" i="15" s="1"/>
  <c r="K71" i="15" s="1"/>
  <c r="L362" i="15"/>
  <c r="O362" i="15" s="1"/>
  <c r="N268" i="15"/>
  <c r="N266" i="15" s="1"/>
  <c r="L203" i="15"/>
  <c r="O203" i="15" s="1"/>
  <c r="M163" i="15"/>
  <c r="P163" i="15" s="1"/>
  <c r="I137" i="15"/>
  <c r="K137" i="15" s="1"/>
  <c r="L97" i="15"/>
  <c r="O97" i="15" s="1"/>
  <c r="I82" i="15"/>
  <c r="K82" i="15" s="1"/>
  <c r="L19" i="15"/>
  <c r="K154" i="14"/>
  <c r="P361" i="15"/>
  <c r="N359" i="15"/>
  <c r="O359" i="15" s="1"/>
  <c r="J332" i="15"/>
  <c r="P336" i="15"/>
  <c r="L306" i="15"/>
  <c r="O306" i="15" s="1"/>
  <c r="K281" i="15"/>
  <c r="L254" i="15"/>
  <c r="O254" i="15" s="1"/>
  <c r="K183" i="15"/>
  <c r="N159" i="15"/>
  <c r="N157" i="15" s="1"/>
  <c r="M141" i="15"/>
  <c r="M139" i="15" s="1"/>
  <c r="M127" i="15"/>
  <c r="P127" i="15" s="1"/>
  <c r="N61" i="15"/>
  <c r="N59" i="15" s="1"/>
  <c r="N62" i="15"/>
  <c r="O62" i="15" s="1"/>
  <c r="P49" i="15"/>
  <c r="M19" i="15"/>
  <c r="O328" i="15"/>
  <c r="L326" i="15"/>
  <c r="O326" i="15" s="1"/>
  <c r="M322" i="15"/>
  <c r="P304" i="15"/>
  <c r="P290" i="15"/>
  <c r="M284" i="15"/>
  <c r="M282" i="15" s="1"/>
  <c r="L243" i="15"/>
  <c r="L234" i="15"/>
  <c r="P181" i="15"/>
  <c r="M175" i="15"/>
  <c r="O325" i="15"/>
  <c r="L323" i="15"/>
  <c r="O323" i="15" s="1"/>
  <c r="L322" i="15"/>
  <c r="K314" i="15"/>
  <c r="I302" i="15"/>
  <c r="K302" i="15" s="1"/>
  <c r="O304" i="15"/>
  <c r="K368" i="15"/>
  <c r="P285" i="15"/>
  <c r="P176" i="15"/>
  <c r="P77" i="15"/>
  <c r="M74" i="15"/>
  <c r="P74" i="15" s="1"/>
  <c r="O287" i="15"/>
  <c r="L284" i="15"/>
  <c r="P267" i="15"/>
  <c r="I238" i="15"/>
  <c r="K238" i="15" s="1"/>
  <c r="O178" i="15"/>
  <c r="L175" i="15"/>
  <c r="O165" i="15"/>
  <c r="L159" i="15"/>
  <c r="N96" i="15"/>
  <c r="N94" i="15" s="1"/>
  <c r="N97" i="15"/>
  <c r="K280" i="15"/>
  <c r="O267" i="15"/>
  <c r="I253" i="15"/>
  <c r="K253" i="15" s="1"/>
  <c r="K260" i="15"/>
  <c r="P187" i="15"/>
  <c r="L141" i="15"/>
  <c r="O147" i="15"/>
  <c r="L26" i="15"/>
  <c r="K365" i="15"/>
  <c r="M323" i="15"/>
  <c r="P323" i="15" s="1"/>
  <c r="M288" i="15"/>
  <c r="P288" i="15" s="1"/>
  <c r="I195" i="15"/>
  <c r="K195" i="15" s="1"/>
  <c r="O187" i="15"/>
  <c r="M179" i="15"/>
  <c r="P179" i="15" s="1"/>
  <c r="P158" i="15"/>
  <c r="L127" i="15"/>
  <c r="O130" i="15"/>
  <c r="K108" i="15"/>
  <c r="I92" i="15"/>
  <c r="K92" i="15" s="1"/>
  <c r="N26" i="15"/>
  <c r="N24" i="15" s="1"/>
  <c r="P19" i="15"/>
  <c r="M26" i="15"/>
  <c r="P26" i="15" s="1"/>
  <c r="K346" i="14"/>
  <c r="I93" i="14"/>
  <c r="K93" i="14" s="1"/>
  <c r="O361" i="15"/>
  <c r="O338" i="15"/>
  <c r="P321" i="15"/>
  <c r="M305" i="15"/>
  <c r="K293" i="15"/>
  <c r="L288" i="15"/>
  <c r="O288" i="15" s="1"/>
  <c r="N284" i="15"/>
  <c r="N282" i="15" s="1"/>
  <c r="M268" i="15"/>
  <c r="P268" i="15" s="1"/>
  <c r="K249" i="15"/>
  <c r="I242" i="15"/>
  <c r="M188" i="15"/>
  <c r="L179" i="15"/>
  <c r="O179" i="15" s="1"/>
  <c r="N175" i="15"/>
  <c r="N173" i="15" s="1"/>
  <c r="K167" i="15"/>
  <c r="P162" i="15"/>
  <c r="M159" i="15"/>
  <c r="P159" i="15" s="1"/>
  <c r="O144" i="15"/>
  <c r="N141" i="15"/>
  <c r="N74" i="15"/>
  <c r="N72" i="15" s="1"/>
  <c r="P64" i="15"/>
  <c r="M61" i="15"/>
  <c r="L50" i="15"/>
  <c r="O50" i="15" s="1"/>
  <c r="O52" i="15"/>
  <c r="O19" i="15"/>
  <c r="K183" i="14"/>
  <c r="K371" i="15"/>
  <c r="N335" i="15"/>
  <c r="N333" i="15" s="1"/>
  <c r="I156" i="15"/>
  <c r="K156" i="15" s="1"/>
  <c r="M100" i="15"/>
  <c r="P100" i="15" s="1"/>
  <c r="P102" i="15"/>
  <c r="P73" i="15"/>
  <c r="L235" i="14"/>
  <c r="L379" i="15"/>
  <c r="O379" i="15" s="1"/>
  <c r="M358" i="15"/>
  <c r="M335" i="15"/>
  <c r="M333" i="15" s="1"/>
  <c r="L78" i="15"/>
  <c r="O78" i="15" s="1"/>
  <c r="O80" i="15"/>
  <c r="P67" i="15"/>
  <c r="P47" i="15"/>
  <c r="M97" i="15"/>
  <c r="P97" i="15" s="1"/>
  <c r="P99" i="15"/>
  <c r="L75" i="15"/>
  <c r="O75" i="15" s="1"/>
  <c r="O77" i="15"/>
  <c r="M50" i="15"/>
  <c r="P50" i="15" s="1"/>
  <c r="M379" i="14"/>
  <c r="M377" i="14" s="1"/>
  <c r="P377" i="14" s="1"/>
  <c r="O162" i="15"/>
  <c r="L160" i="15"/>
  <c r="O160" i="15" s="1"/>
  <c r="M96" i="15"/>
  <c r="P52" i="15"/>
  <c r="O47" i="15"/>
  <c r="N19" i="15"/>
  <c r="O49" i="15"/>
  <c r="P25" i="15"/>
  <c r="N23" i="15"/>
  <c r="N21" i="15" s="1"/>
  <c r="N46" i="15"/>
  <c r="N44" i="15" s="1"/>
  <c r="M23" i="15"/>
  <c r="M46" i="15"/>
  <c r="L23" i="15"/>
  <c r="L21" i="15" s="1"/>
  <c r="L46" i="15"/>
  <c r="O22" i="15"/>
  <c r="K169" i="14"/>
  <c r="N322" i="14"/>
  <c r="N320" i="14" s="1"/>
  <c r="O311" i="14"/>
  <c r="O191" i="14"/>
  <c r="L142" i="14"/>
  <c r="O142" i="14" s="1"/>
  <c r="L131" i="14"/>
  <c r="O131" i="14" s="1"/>
  <c r="L214" i="14"/>
  <c r="O214" i="14" s="1"/>
  <c r="I213" i="14"/>
  <c r="K213" i="14" s="1"/>
  <c r="K229" i="14"/>
  <c r="K152" i="14"/>
  <c r="N159" i="14"/>
  <c r="N157" i="14" s="1"/>
  <c r="N74" i="14"/>
  <c r="N72" i="14" s="1"/>
  <c r="L234" i="14"/>
  <c r="P181" i="14"/>
  <c r="P133" i="14"/>
  <c r="L61" i="14"/>
  <c r="L59" i="14" s="1"/>
  <c r="K292" i="14"/>
  <c r="O274" i="14"/>
  <c r="O99" i="14"/>
  <c r="O67" i="14"/>
  <c r="L326" i="14"/>
  <c r="O326" i="14" s="1"/>
  <c r="M288" i="14"/>
  <c r="P288" i="14" s="1"/>
  <c r="O271" i="14"/>
  <c r="P130" i="14"/>
  <c r="N46" i="14"/>
  <c r="N44" i="14" s="1"/>
  <c r="J332" i="14"/>
  <c r="P147" i="14"/>
  <c r="O64" i="14"/>
  <c r="L379" i="14"/>
  <c r="O379" i="14" s="1"/>
  <c r="K369" i="14"/>
  <c r="N358" i="14"/>
  <c r="N356" i="14" s="1"/>
  <c r="N284" i="14"/>
  <c r="N282" i="14" s="1"/>
  <c r="L222" i="14"/>
  <c r="O222" i="14" s="1"/>
  <c r="N188" i="14"/>
  <c r="N186" i="14" s="1"/>
  <c r="I82" i="14"/>
  <c r="I70" i="14" s="1"/>
  <c r="K70" i="14" s="1"/>
  <c r="P359" i="14"/>
  <c r="K344" i="14"/>
  <c r="L26" i="14"/>
  <c r="L24" i="14" s="1"/>
  <c r="O24" i="14" s="1"/>
  <c r="K371" i="14"/>
  <c r="O361" i="14"/>
  <c r="P308" i="14"/>
  <c r="N268" i="14"/>
  <c r="N266" i="14" s="1"/>
  <c r="K221" i="14"/>
  <c r="O189" i="14"/>
  <c r="N175" i="14"/>
  <c r="N173" i="14" s="1"/>
  <c r="P162" i="14"/>
  <c r="N160" i="14"/>
  <c r="L128" i="14"/>
  <c r="O128" i="14" s="1"/>
  <c r="L96" i="14"/>
  <c r="O96" i="14" s="1"/>
  <c r="N61" i="14"/>
  <c r="N59" i="14" s="1"/>
  <c r="L62" i="14"/>
  <c r="O62" i="14" s="1"/>
  <c r="P49" i="14"/>
  <c r="N47" i="14"/>
  <c r="O47" i="14" s="1"/>
  <c r="L358" i="13"/>
  <c r="L356" i="13" s="1"/>
  <c r="O341" i="13"/>
  <c r="M383" i="14"/>
  <c r="P383" i="14" s="1"/>
  <c r="M380" i="14"/>
  <c r="P380" i="14" s="1"/>
  <c r="O308" i="14"/>
  <c r="N232" i="14"/>
  <c r="P194" i="14"/>
  <c r="P176" i="14"/>
  <c r="P80" i="14"/>
  <c r="L19" i="14"/>
  <c r="J351" i="14"/>
  <c r="L335" i="14"/>
  <c r="L333" i="14" s="1"/>
  <c r="L322" i="14"/>
  <c r="O322" i="14" s="1"/>
  <c r="N305" i="14"/>
  <c r="N303" i="14" s="1"/>
  <c r="N306" i="14"/>
  <c r="P274" i="14"/>
  <c r="L236" i="14"/>
  <c r="O194" i="14"/>
  <c r="O176" i="14"/>
  <c r="L100" i="14"/>
  <c r="O100" i="14" s="1"/>
  <c r="I83" i="14"/>
  <c r="I71" i="14" s="1"/>
  <c r="K71" i="14" s="1"/>
  <c r="P77" i="14"/>
  <c r="N75" i="14"/>
  <c r="P47" i="14"/>
  <c r="M335" i="14"/>
  <c r="N326" i="14"/>
  <c r="M175" i="14"/>
  <c r="L380" i="14"/>
  <c r="O380" i="14" s="1"/>
  <c r="M362" i="14"/>
  <c r="P362" i="14" s="1"/>
  <c r="L285" i="14"/>
  <c r="O285" i="14" s="1"/>
  <c r="O287" i="14"/>
  <c r="L254" i="14"/>
  <c r="O254" i="14" s="1"/>
  <c r="P64" i="14"/>
  <c r="M62" i="14"/>
  <c r="P62" i="14" s="1"/>
  <c r="O19" i="14"/>
  <c r="M322" i="12"/>
  <c r="P322" i="12" s="1"/>
  <c r="L233" i="13"/>
  <c r="P382" i="14"/>
  <c r="O378" i="14"/>
  <c r="I365" i="14"/>
  <c r="K365" i="14" s="1"/>
  <c r="L362" i="14"/>
  <c r="O362" i="14" s="1"/>
  <c r="L359" i="14"/>
  <c r="O359" i="14" s="1"/>
  <c r="P357" i="14"/>
  <c r="J343" i="14"/>
  <c r="L339" i="14"/>
  <c r="O339" i="14" s="1"/>
  <c r="L336" i="14"/>
  <c r="O336" i="14" s="1"/>
  <c r="I319" i="14"/>
  <c r="K319" i="14" s="1"/>
  <c r="P311" i="14"/>
  <c r="L284" i="14"/>
  <c r="O284" i="14" s="1"/>
  <c r="M268" i="14"/>
  <c r="P191" i="14"/>
  <c r="P165" i="14"/>
  <c r="M26" i="14"/>
  <c r="J231" i="14"/>
  <c r="J185" i="14" s="1"/>
  <c r="L383" i="14"/>
  <c r="O383" i="14" s="1"/>
  <c r="M336" i="14"/>
  <c r="P336" i="14" s="1"/>
  <c r="N141" i="14"/>
  <c r="N139" i="14" s="1"/>
  <c r="N127" i="14"/>
  <c r="N125" i="14" s="1"/>
  <c r="M61" i="14"/>
  <c r="O176" i="13"/>
  <c r="O382" i="14"/>
  <c r="P361" i="14"/>
  <c r="O357" i="14"/>
  <c r="P341" i="14"/>
  <c r="P338" i="14"/>
  <c r="M323" i="14"/>
  <c r="P323" i="14" s="1"/>
  <c r="P325" i="14"/>
  <c r="O283" i="14"/>
  <c r="P271" i="14"/>
  <c r="I253" i="14"/>
  <c r="K253" i="14" s="1"/>
  <c r="K260" i="14"/>
  <c r="I238" i="14"/>
  <c r="K238" i="14" s="1"/>
  <c r="I242" i="14"/>
  <c r="K249" i="14"/>
  <c r="M358" i="14"/>
  <c r="L358" i="14"/>
  <c r="L356" i="14" s="1"/>
  <c r="M326" i="14"/>
  <c r="P326" i="14" s="1"/>
  <c r="P328" i="14"/>
  <c r="O67" i="13"/>
  <c r="N379" i="14"/>
  <c r="N377" i="14" s="1"/>
  <c r="O338" i="14"/>
  <c r="I332" i="14"/>
  <c r="M305" i="14"/>
  <c r="P287" i="14"/>
  <c r="L203" i="14"/>
  <c r="O203" i="14" s="1"/>
  <c r="P178" i="14"/>
  <c r="I138" i="14"/>
  <c r="K138" i="14" s="1"/>
  <c r="P126" i="14"/>
  <c r="K108" i="14"/>
  <c r="I92" i="14"/>
  <c r="K92" i="14" s="1"/>
  <c r="I202" i="14"/>
  <c r="K202" i="14" s="1"/>
  <c r="K209" i="14"/>
  <c r="P19" i="14"/>
  <c r="M284" i="14"/>
  <c r="L243" i="14"/>
  <c r="N335" i="14"/>
  <c r="N333" i="14" s="1"/>
  <c r="M322" i="14"/>
  <c r="P322" i="14" s="1"/>
  <c r="I280" i="14"/>
  <c r="K280" i="14" s="1"/>
  <c r="K293" i="14"/>
  <c r="L288" i="14"/>
  <c r="O288" i="14" s="1"/>
  <c r="O290" i="14"/>
  <c r="P189" i="14"/>
  <c r="M188" i="14"/>
  <c r="M159" i="14"/>
  <c r="N26" i="14"/>
  <c r="N24" i="14" s="1"/>
  <c r="P67" i="14"/>
  <c r="M65" i="14"/>
  <c r="P65" i="14" s="1"/>
  <c r="O60" i="14"/>
  <c r="N19" i="14"/>
  <c r="K314" i="14"/>
  <c r="L305" i="14"/>
  <c r="O305" i="14" s="1"/>
  <c r="L268" i="14"/>
  <c r="O268" i="14" s="1"/>
  <c r="L233" i="14"/>
  <c r="L188" i="14"/>
  <c r="O181" i="14"/>
  <c r="O178" i="14"/>
  <c r="O165" i="14"/>
  <c r="O162" i="14"/>
  <c r="M141" i="14"/>
  <c r="P141" i="14" s="1"/>
  <c r="M127" i="14"/>
  <c r="P127" i="14" s="1"/>
  <c r="P102" i="14"/>
  <c r="P99" i="14"/>
  <c r="O80" i="14"/>
  <c r="O77" i="14"/>
  <c r="O52" i="14"/>
  <c r="O49" i="14"/>
  <c r="P25" i="14"/>
  <c r="N23" i="14"/>
  <c r="N21" i="14" s="1"/>
  <c r="O325" i="14"/>
  <c r="L141" i="14"/>
  <c r="L127" i="14"/>
  <c r="K85" i="14"/>
  <c r="M23" i="14"/>
  <c r="N96" i="14"/>
  <c r="N94" i="14" s="1"/>
  <c r="M74" i="14"/>
  <c r="P74" i="14" s="1"/>
  <c r="M46" i="14"/>
  <c r="L23" i="14"/>
  <c r="L21" i="14" s="1"/>
  <c r="L175" i="14"/>
  <c r="L159" i="14"/>
  <c r="O159" i="14" s="1"/>
  <c r="N100" i="14"/>
  <c r="M96" i="14"/>
  <c r="P96" i="14" s="1"/>
  <c r="L74" i="14"/>
  <c r="O74" i="14" s="1"/>
  <c r="M50" i="14"/>
  <c r="P50" i="14" s="1"/>
  <c r="L46" i="14"/>
  <c r="O22" i="14"/>
  <c r="L309" i="13"/>
  <c r="O309" i="13" s="1"/>
  <c r="O191" i="13"/>
  <c r="O308" i="13"/>
  <c r="L145" i="13"/>
  <c r="O145" i="13" s="1"/>
  <c r="K154" i="13"/>
  <c r="O328" i="13"/>
  <c r="P67" i="13"/>
  <c r="J332" i="13"/>
  <c r="K332" i="13" s="1"/>
  <c r="P325" i="13"/>
  <c r="L272" i="13"/>
  <c r="O272" i="13" s="1"/>
  <c r="M141" i="13"/>
  <c r="M139" i="13" s="1"/>
  <c r="M131" i="13"/>
  <c r="P131" i="13" s="1"/>
  <c r="N46" i="13"/>
  <c r="N44" i="13" s="1"/>
  <c r="K371" i="13"/>
  <c r="K368" i="13"/>
  <c r="J343" i="13"/>
  <c r="N268" i="13"/>
  <c r="N266" i="13" s="1"/>
  <c r="O271" i="13"/>
  <c r="I238" i="13"/>
  <c r="K238" i="13" s="1"/>
  <c r="P191" i="13"/>
  <c r="K169" i="13"/>
  <c r="O142" i="13"/>
  <c r="K108" i="13"/>
  <c r="N74" i="13"/>
  <c r="N72" i="13" s="1"/>
  <c r="N61" i="13"/>
  <c r="N59" i="13" s="1"/>
  <c r="P287" i="13"/>
  <c r="L236" i="13"/>
  <c r="M127" i="13"/>
  <c r="P127" i="13" s="1"/>
  <c r="N379" i="13"/>
  <c r="N377" i="13" s="1"/>
  <c r="L322" i="13"/>
  <c r="L320" i="13" s="1"/>
  <c r="P189" i="13"/>
  <c r="N188" i="13"/>
  <c r="N186" i="13" s="1"/>
  <c r="P147" i="13"/>
  <c r="L61" i="13"/>
  <c r="L59" i="13" s="1"/>
  <c r="P361" i="13"/>
  <c r="K346" i="13"/>
  <c r="M335" i="13"/>
  <c r="M333" i="13" s="1"/>
  <c r="N305" i="13"/>
  <c r="N303" i="13" s="1"/>
  <c r="L222" i="13"/>
  <c r="O222" i="13" s="1"/>
  <c r="I82" i="13"/>
  <c r="I70" i="13" s="1"/>
  <c r="K70" i="13" s="1"/>
  <c r="L46" i="12"/>
  <c r="L44" i="12" s="1"/>
  <c r="O361" i="13"/>
  <c r="K344" i="13"/>
  <c r="L335" i="13"/>
  <c r="L333" i="13" s="1"/>
  <c r="I319" i="13"/>
  <c r="K319" i="13" s="1"/>
  <c r="L305" i="13"/>
  <c r="O305" i="13" s="1"/>
  <c r="N284" i="13"/>
  <c r="N282" i="13" s="1"/>
  <c r="I280" i="13"/>
  <c r="K280" i="13" s="1"/>
  <c r="L235" i="13"/>
  <c r="I213" i="13"/>
  <c r="K213" i="13" s="1"/>
  <c r="L203" i="13"/>
  <c r="O203" i="13" s="1"/>
  <c r="I202" i="13"/>
  <c r="K202" i="13" s="1"/>
  <c r="I195" i="13"/>
  <c r="K195" i="13" s="1"/>
  <c r="P162" i="13"/>
  <c r="P142" i="13"/>
  <c r="M100" i="13"/>
  <c r="P100" i="13" s="1"/>
  <c r="L97" i="13"/>
  <c r="O97" i="13" s="1"/>
  <c r="K365" i="13"/>
  <c r="P274" i="13"/>
  <c r="J231" i="13"/>
  <c r="J185" i="13" s="1"/>
  <c r="P194" i="13"/>
  <c r="O189" i="13"/>
  <c r="I138" i="13"/>
  <c r="K138" i="13" s="1"/>
  <c r="O133" i="13"/>
  <c r="O385" i="12"/>
  <c r="O364" i="13"/>
  <c r="L268" i="13"/>
  <c r="O268" i="13" s="1"/>
  <c r="L214" i="13"/>
  <c r="O214" i="13" s="1"/>
  <c r="O194" i="13"/>
  <c r="L188" i="13"/>
  <c r="L186" i="13" s="1"/>
  <c r="I83" i="13"/>
  <c r="I71" i="13" s="1"/>
  <c r="K71" i="13" s="1"/>
  <c r="O64" i="13"/>
  <c r="M19" i="13"/>
  <c r="P19" i="13" s="1"/>
  <c r="N334" i="1"/>
  <c r="M339" i="13"/>
  <c r="P339" i="13" s="1"/>
  <c r="M336" i="13"/>
  <c r="P336" i="13" s="1"/>
  <c r="N272" i="13"/>
  <c r="L254" i="13"/>
  <c r="O254" i="13" s="1"/>
  <c r="I137" i="13"/>
  <c r="K137" i="13" s="1"/>
  <c r="P130" i="13"/>
  <c r="M128" i="13"/>
  <c r="P128" i="13" s="1"/>
  <c r="L62" i="13"/>
  <c r="O62" i="13" s="1"/>
  <c r="P49" i="13"/>
  <c r="P95" i="13"/>
  <c r="N285" i="13"/>
  <c r="O187" i="13"/>
  <c r="P181" i="13"/>
  <c r="M175" i="13"/>
  <c r="M173" i="13" s="1"/>
  <c r="O162" i="13"/>
  <c r="L159" i="13"/>
  <c r="N131" i="13"/>
  <c r="N127" i="13"/>
  <c r="N125" i="13" s="1"/>
  <c r="M62" i="13"/>
  <c r="P62" i="13" s="1"/>
  <c r="M23" i="13"/>
  <c r="M61" i="13"/>
  <c r="P64" i="13"/>
  <c r="L336" i="13"/>
  <c r="O336" i="13" s="1"/>
  <c r="K369" i="12"/>
  <c r="P336" i="12"/>
  <c r="L383" i="13"/>
  <c r="O383" i="13" s="1"/>
  <c r="P382" i="13"/>
  <c r="M379" i="13"/>
  <c r="P379" i="13" s="1"/>
  <c r="M362" i="13"/>
  <c r="P362" i="13" s="1"/>
  <c r="L359" i="13"/>
  <c r="O359" i="13" s="1"/>
  <c r="N335" i="13"/>
  <c r="N322" i="13"/>
  <c r="O325" i="13"/>
  <c r="N323" i="13"/>
  <c r="O323" i="13" s="1"/>
  <c r="P321" i="13"/>
  <c r="K314" i="13"/>
  <c r="I302" i="13"/>
  <c r="K302" i="13" s="1"/>
  <c r="L285" i="13"/>
  <c r="O285" i="13" s="1"/>
  <c r="I221" i="13"/>
  <c r="K221" i="13" s="1"/>
  <c r="P176" i="13"/>
  <c r="N26" i="13"/>
  <c r="N24" i="13" s="1"/>
  <c r="N50" i="13"/>
  <c r="O267" i="13"/>
  <c r="O45" i="13"/>
  <c r="M359" i="13"/>
  <c r="P359" i="13" s="1"/>
  <c r="I253" i="13"/>
  <c r="K253" i="13" s="1"/>
  <c r="K260" i="13"/>
  <c r="I221" i="12"/>
  <c r="K221" i="12" s="1"/>
  <c r="L379" i="13"/>
  <c r="O338" i="13"/>
  <c r="P328" i="13"/>
  <c r="P311" i="13"/>
  <c r="K292" i="13"/>
  <c r="L243" i="13"/>
  <c r="L234" i="13"/>
  <c r="O178" i="13"/>
  <c r="L175" i="13"/>
  <c r="M383" i="13"/>
  <c r="P383" i="13" s="1"/>
  <c r="M269" i="13"/>
  <c r="P269" i="13" s="1"/>
  <c r="M268" i="13"/>
  <c r="P268" i="13" s="1"/>
  <c r="P378" i="13"/>
  <c r="N358" i="13"/>
  <c r="P334" i="13"/>
  <c r="M306" i="13"/>
  <c r="P306" i="13" s="1"/>
  <c r="M305" i="13"/>
  <c r="M284" i="13"/>
  <c r="P284" i="13" s="1"/>
  <c r="P165" i="13"/>
  <c r="M159" i="13"/>
  <c r="P159" i="13" s="1"/>
  <c r="L160" i="13"/>
  <c r="O160" i="13" s="1"/>
  <c r="L141" i="13"/>
  <c r="O144" i="13"/>
  <c r="N19" i="13"/>
  <c r="P187" i="13"/>
  <c r="K109" i="13"/>
  <c r="I93" i="13"/>
  <c r="K93" i="13" s="1"/>
  <c r="P77" i="13"/>
  <c r="M74" i="13"/>
  <c r="P74" i="13" s="1"/>
  <c r="M61" i="11"/>
  <c r="M59" i="11" s="1"/>
  <c r="O361" i="12"/>
  <c r="L380" i="13"/>
  <c r="O380" i="13" s="1"/>
  <c r="M358" i="13"/>
  <c r="J351" i="13"/>
  <c r="M322" i="13"/>
  <c r="M320" i="13" s="1"/>
  <c r="M288" i="13"/>
  <c r="P288" i="13" s="1"/>
  <c r="L284" i="13"/>
  <c r="L127" i="13"/>
  <c r="O130" i="13"/>
  <c r="L96" i="13"/>
  <c r="O102" i="13"/>
  <c r="M75" i="13"/>
  <c r="P75" i="13" s="1"/>
  <c r="L47" i="13"/>
  <c r="O49" i="13"/>
  <c r="L23" i="13"/>
  <c r="L21" i="13" s="1"/>
  <c r="L46" i="13"/>
  <c r="P45" i="13"/>
  <c r="P142" i="12"/>
  <c r="P338" i="13"/>
  <c r="L288" i="13"/>
  <c r="O288" i="13" s="1"/>
  <c r="K249" i="13"/>
  <c r="I242" i="13"/>
  <c r="M188" i="13"/>
  <c r="L179" i="13"/>
  <c r="O179" i="13" s="1"/>
  <c r="N175" i="13"/>
  <c r="N173" i="13" s="1"/>
  <c r="L163" i="13"/>
  <c r="O163" i="13" s="1"/>
  <c r="N159" i="13"/>
  <c r="N157" i="13" s="1"/>
  <c r="P144" i="13"/>
  <c r="N96" i="13"/>
  <c r="N94" i="13" s="1"/>
  <c r="P80" i="13"/>
  <c r="L75" i="13"/>
  <c r="O75" i="13" s="1"/>
  <c r="O77" i="13"/>
  <c r="P73" i="13"/>
  <c r="M26" i="13"/>
  <c r="M50" i="13"/>
  <c r="P50" i="13" s="1"/>
  <c r="M46" i="13"/>
  <c r="L19" i="13"/>
  <c r="O22" i="13"/>
  <c r="K183" i="13"/>
  <c r="P178" i="13"/>
  <c r="N141" i="13"/>
  <c r="M96" i="13"/>
  <c r="P96" i="13" s="1"/>
  <c r="L50" i="13"/>
  <c r="O50" i="13" s="1"/>
  <c r="O52" i="13"/>
  <c r="N23" i="13"/>
  <c r="N47" i="13"/>
  <c r="P47" i="13" s="1"/>
  <c r="M97" i="13"/>
  <c r="P97" i="13" s="1"/>
  <c r="L78" i="13"/>
  <c r="O78" i="13" s="1"/>
  <c r="O80" i="13"/>
  <c r="L74" i="13"/>
  <c r="L26" i="13"/>
  <c r="K152" i="11"/>
  <c r="L305" i="12"/>
  <c r="O305" i="12" s="1"/>
  <c r="O274" i="12"/>
  <c r="L234" i="12"/>
  <c r="L141" i="12"/>
  <c r="L139" i="12" s="1"/>
  <c r="M128" i="12"/>
  <c r="P128" i="12" s="1"/>
  <c r="O67" i="12"/>
  <c r="O311" i="12"/>
  <c r="P287" i="12"/>
  <c r="I136" i="12"/>
  <c r="K136" i="12" s="1"/>
  <c r="P64" i="12"/>
  <c r="L268" i="12"/>
  <c r="O268" i="12" s="1"/>
  <c r="O64" i="12"/>
  <c r="L243" i="12"/>
  <c r="O243" i="12" s="1"/>
  <c r="P62" i="12"/>
  <c r="N268" i="12"/>
  <c r="N266" i="12" s="1"/>
  <c r="N127" i="12"/>
  <c r="N125" i="12" s="1"/>
  <c r="I83" i="12"/>
  <c r="I71" i="12" s="1"/>
  <c r="K71" i="12" s="1"/>
  <c r="L379" i="12"/>
  <c r="L377" i="12" s="1"/>
  <c r="O377" i="12" s="1"/>
  <c r="P359" i="12"/>
  <c r="M339" i="12"/>
  <c r="P339" i="12" s="1"/>
  <c r="P325" i="12"/>
  <c r="M268" i="12"/>
  <c r="M266" i="12" s="1"/>
  <c r="P266" i="12" s="1"/>
  <c r="K183" i="12"/>
  <c r="P162" i="12"/>
  <c r="N159" i="12"/>
  <c r="N157" i="12" s="1"/>
  <c r="P147" i="12"/>
  <c r="L61" i="12"/>
  <c r="L59" i="12" s="1"/>
  <c r="L62" i="12"/>
  <c r="O62" i="12" s="1"/>
  <c r="O359" i="12"/>
  <c r="O338" i="12"/>
  <c r="I202" i="12"/>
  <c r="K202" i="12" s="1"/>
  <c r="M159" i="12"/>
  <c r="P159" i="12" s="1"/>
  <c r="M100" i="12"/>
  <c r="P100" i="12" s="1"/>
  <c r="P325" i="11"/>
  <c r="L203" i="12"/>
  <c r="O203" i="12" s="1"/>
  <c r="O194" i="12"/>
  <c r="M141" i="12"/>
  <c r="M139" i="12" s="1"/>
  <c r="O99" i="12"/>
  <c r="P361" i="12"/>
  <c r="J351" i="12"/>
  <c r="K292" i="12"/>
  <c r="L235" i="12"/>
  <c r="L214" i="12"/>
  <c r="O214" i="12" s="1"/>
  <c r="P133" i="12"/>
  <c r="N284" i="12"/>
  <c r="N282" i="12" s="1"/>
  <c r="M175" i="12"/>
  <c r="P176" i="12"/>
  <c r="N96" i="12"/>
  <c r="N94" i="12" s="1"/>
  <c r="M65" i="11"/>
  <c r="P65" i="11" s="1"/>
  <c r="K371" i="12"/>
  <c r="J343" i="12"/>
  <c r="M335" i="12"/>
  <c r="M333" i="12" s="1"/>
  <c r="P328" i="12"/>
  <c r="M326" i="12"/>
  <c r="P326" i="12" s="1"/>
  <c r="O308" i="12"/>
  <c r="K152" i="12"/>
  <c r="O147" i="12"/>
  <c r="O142" i="12"/>
  <c r="N141" i="12"/>
  <c r="M96" i="12"/>
  <c r="P96" i="12" s="1"/>
  <c r="I93" i="12"/>
  <c r="K93" i="12" s="1"/>
  <c r="K85" i="12"/>
  <c r="N19" i="12"/>
  <c r="M284" i="12"/>
  <c r="P284" i="12" s="1"/>
  <c r="L222" i="12"/>
  <c r="O222" i="12" s="1"/>
  <c r="O382" i="12"/>
  <c r="P364" i="12"/>
  <c r="M358" i="12"/>
  <c r="M356" i="12" s="1"/>
  <c r="O341" i="12"/>
  <c r="O336" i="12"/>
  <c r="N305" i="12"/>
  <c r="N303" i="12" s="1"/>
  <c r="I238" i="12"/>
  <c r="K238" i="12" s="1"/>
  <c r="N232" i="12"/>
  <c r="O130" i="12"/>
  <c r="O102" i="12"/>
  <c r="L96" i="12"/>
  <c r="O96" i="12" s="1"/>
  <c r="M19" i="12"/>
  <c r="P19" i="12" s="1"/>
  <c r="P165" i="11"/>
  <c r="P162" i="11"/>
  <c r="L380" i="12"/>
  <c r="O380" i="12" s="1"/>
  <c r="K365" i="12"/>
  <c r="O364" i="12"/>
  <c r="I302" i="12"/>
  <c r="K302" i="12" s="1"/>
  <c r="O271" i="12"/>
  <c r="L236" i="12"/>
  <c r="O187" i="12"/>
  <c r="I156" i="12"/>
  <c r="K156" i="12" s="1"/>
  <c r="P144" i="12"/>
  <c r="P80" i="12"/>
  <c r="P67" i="12"/>
  <c r="P52" i="12"/>
  <c r="L26" i="12"/>
  <c r="O26" i="12" s="1"/>
  <c r="K368" i="11"/>
  <c r="K368" i="12"/>
  <c r="K344" i="12"/>
  <c r="P338" i="12"/>
  <c r="L269" i="12"/>
  <c r="O269" i="12" s="1"/>
  <c r="I242" i="12"/>
  <c r="I231" i="12" s="1"/>
  <c r="L188" i="12"/>
  <c r="P178" i="12"/>
  <c r="N175" i="12"/>
  <c r="N173" i="12" s="1"/>
  <c r="O144" i="12"/>
  <c r="M127" i="12"/>
  <c r="P127" i="12" s="1"/>
  <c r="I82" i="12"/>
  <c r="K82" i="12" s="1"/>
  <c r="N61" i="12"/>
  <c r="N59" i="12" s="1"/>
  <c r="N26" i="12"/>
  <c r="N24" i="12" s="1"/>
  <c r="L326" i="12"/>
  <c r="O326" i="12" s="1"/>
  <c r="O290" i="12"/>
  <c r="L284" i="12"/>
  <c r="O284" i="12" s="1"/>
  <c r="M189" i="12"/>
  <c r="P191" i="12"/>
  <c r="O158" i="12"/>
  <c r="K153" i="12"/>
  <c r="I138" i="12"/>
  <c r="K138" i="12" s="1"/>
  <c r="M269" i="12"/>
  <c r="P269" i="12" s="1"/>
  <c r="P271" i="12"/>
  <c r="N188" i="12"/>
  <c r="N186" i="12" s="1"/>
  <c r="O191" i="12"/>
  <c r="K229" i="11"/>
  <c r="I221" i="11"/>
  <c r="K221" i="11" s="1"/>
  <c r="K293" i="12"/>
  <c r="I280" i="12"/>
  <c r="K280" i="12" s="1"/>
  <c r="L254" i="12"/>
  <c r="O254" i="12" s="1"/>
  <c r="M188" i="12"/>
  <c r="L131" i="12"/>
  <c r="O131" i="12" s="1"/>
  <c r="O95" i="12"/>
  <c r="M74" i="12"/>
  <c r="P74" i="12" s="1"/>
  <c r="P77" i="12"/>
  <c r="L192" i="11"/>
  <c r="O192" i="11" s="1"/>
  <c r="O194" i="11"/>
  <c r="M306" i="12"/>
  <c r="P306" i="12" s="1"/>
  <c r="P308" i="12"/>
  <c r="N269" i="12"/>
  <c r="M23" i="12"/>
  <c r="M305" i="12"/>
  <c r="N189" i="12"/>
  <c r="O189" i="12" s="1"/>
  <c r="P158" i="12"/>
  <c r="P283" i="12"/>
  <c r="O181" i="12"/>
  <c r="L175" i="12"/>
  <c r="L173" i="12" s="1"/>
  <c r="K108" i="12"/>
  <c r="I92" i="12"/>
  <c r="K92" i="12" s="1"/>
  <c r="O19" i="12"/>
  <c r="L322" i="12"/>
  <c r="O325" i="12"/>
  <c r="P174" i="12"/>
  <c r="O174" i="12"/>
  <c r="P140" i="12"/>
  <c r="L23" i="12"/>
  <c r="L21" i="12" s="1"/>
  <c r="L189" i="11"/>
  <c r="L188" i="11"/>
  <c r="L186" i="11" s="1"/>
  <c r="N379" i="12"/>
  <c r="N377" i="12" s="1"/>
  <c r="K346" i="12"/>
  <c r="K330" i="12"/>
  <c r="N306" i="12"/>
  <c r="O283" i="12"/>
  <c r="K220" i="12"/>
  <c r="I213" i="12"/>
  <c r="K213" i="12" s="1"/>
  <c r="O165" i="12"/>
  <c r="L159" i="12"/>
  <c r="O159" i="12" s="1"/>
  <c r="N23" i="12"/>
  <c r="N46" i="12"/>
  <c r="N44" i="12" s="1"/>
  <c r="L214" i="11"/>
  <c r="O214" i="11" s="1"/>
  <c r="M379" i="12"/>
  <c r="P379" i="12" s="1"/>
  <c r="N358" i="12"/>
  <c r="N356" i="12" s="1"/>
  <c r="N335" i="12"/>
  <c r="N333" i="12" s="1"/>
  <c r="N50" i="12"/>
  <c r="O49" i="12"/>
  <c r="L47" i="12"/>
  <c r="O47" i="12" s="1"/>
  <c r="O64" i="11"/>
  <c r="M383" i="12"/>
  <c r="P383" i="12" s="1"/>
  <c r="M380" i="12"/>
  <c r="P380" i="12" s="1"/>
  <c r="N322" i="12"/>
  <c r="N320" i="12" s="1"/>
  <c r="P290" i="12"/>
  <c r="K260" i="12"/>
  <c r="P181" i="12"/>
  <c r="P165" i="12"/>
  <c r="L127" i="12"/>
  <c r="M97" i="12"/>
  <c r="P97" i="12" s="1"/>
  <c r="P95" i="12"/>
  <c r="L78" i="12"/>
  <c r="O78" i="12" s="1"/>
  <c r="N74" i="12"/>
  <c r="N72" i="12" s="1"/>
  <c r="M61" i="12"/>
  <c r="L75" i="12"/>
  <c r="O75" i="12" s="1"/>
  <c r="L268" i="10"/>
  <c r="O268" i="10" s="1"/>
  <c r="O359" i="11"/>
  <c r="L322" i="11"/>
  <c r="O322" i="11" s="1"/>
  <c r="L236" i="11"/>
  <c r="K183" i="11"/>
  <c r="L358" i="12"/>
  <c r="L335" i="12"/>
  <c r="J332" i="12"/>
  <c r="K332" i="12" s="1"/>
  <c r="L285" i="12"/>
  <c r="O285" i="12" s="1"/>
  <c r="I195" i="12"/>
  <c r="K195" i="12" s="1"/>
  <c r="O178" i="12"/>
  <c r="L176" i="12"/>
  <c r="O176" i="12" s="1"/>
  <c r="L160" i="12"/>
  <c r="O160" i="12" s="1"/>
  <c r="P60" i="12"/>
  <c r="L50" i="12"/>
  <c r="O50" i="12" s="1"/>
  <c r="M47" i="12"/>
  <c r="P47" i="12" s="1"/>
  <c r="L127" i="11"/>
  <c r="O127" i="11" s="1"/>
  <c r="P311" i="12"/>
  <c r="P274" i="12"/>
  <c r="L233" i="12"/>
  <c r="P194" i="12"/>
  <c r="L74" i="12"/>
  <c r="P49" i="12"/>
  <c r="M46" i="12"/>
  <c r="M44" i="12" s="1"/>
  <c r="M26" i="12"/>
  <c r="K153" i="11"/>
  <c r="O52" i="11"/>
  <c r="O47" i="11"/>
  <c r="J343" i="11"/>
  <c r="L362" i="11"/>
  <c r="O362" i="11" s="1"/>
  <c r="J351" i="10"/>
  <c r="P102" i="11"/>
  <c r="P99" i="11"/>
  <c r="P274" i="11"/>
  <c r="L203" i="11"/>
  <c r="O203" i="11" s="1"/>
  <c r="L268" i="11"/>
  <c r="O268" i="11" s="1"/>
  <c r="P194" i="10"/>
  <c r="K369" i="11"/>
  <c r="M322" i="11"/>
  <c r="P322" i="11" s="1"/>
  <c r="P80" i="11"/>
  <c r="P77" i="11"/>
  <c r="M358" i="11"/>
  <c r="M356" i="11" s="1"/>
  <c r="J351" i="11"/>
  <c r="K346" i="11"/>
  <c r="L335" i="11"/>
  <c r="L333" i="11" s="1"/>
  <c r="K292" i="11"/>
  <c r="L222" i="11"/>
  <c r="O222" i="11" s="1"/>
  <c r="P49" i="11"/>
  <c r="O287" i="11"/>
  <c r="K220" i="11"/>
  <c r="I213" i="11"/>
  <c r="K213" i="11" s="1"/>
  <c r="P130" i="11"/>
  <c r="M128" i="11"/>
  <c r="P128" i="11" s="1"/>
  <c r="N96" i="11"/>
  <c r="N94" i="11" s="1"/>
  <c r="M74" i="11"/>
  <c r="P74" i="11" s="1"/>
  <c r="P385" i="11"/>
  <c r="P382" i="11"/>
  <c r="L339" i="11"/>
  <c r="O339" i="11" s="1"/>
  <c r="K314" i="11"/>
  <c r="N284" i="11"/>
  <c r="N282" i="11" s="1"/>
  <c r="I238" i="11"/>
  <c r="K238" i="11" s="1"/>
  <c r="L96" i="10"/>
  <c r="L94" i="10" s="1"/>
  <c r="O94" i="10" s="1"/>
  <c r="P338" i="11"/>
  <c r="P328" i="11"/>
  <c r="K293" i="11"/>
  <c r="L176" i="11"/>
  <c r="O176" i="11" s="1"/>
  <c r="L175" i="11"/>
  <c r="L173" i="11" s="1"/>
  <c r="O178" i="11"/>
  <c r="N188" i="11"/>
  <c r="N186" i="11" s="1"/>
  <c r="M159" i="11"/>
  <c r="P159" i="11" s="1"/>
  <c r="P47" i="11"/>
  <c r="L234" i="11"/>
  <c r="P176" i="11"/>
  <c r="K365" i="11"/>
  <c r="M284" i="10"/>
  <c r="P284" i="10" s="1"/>
  <c r="M379" i="11"/>
  <c r="P379" i="11" s="1"/>
  <c r="K371" i="11"/>
  <c r="P364" i="11"/>
  <c r="L358" i="11"/>
  <c r="L356" i="11" s="1"/>
  <c r="P341" i="11"/>
  <c r="L326" i="11"/>
  <c r="O326" i="11" s="1"/>
  <c r="N322" i="11"/>
  <c r="N320" i="11" s="1"/>
  <c r="I319" i="11"/>
  <c r="K319" i="11" s="1"/>
  <c r="O191" i="11"/>
  <c r="N189" i="11"/>
  <c r="O162" i="11"/>
  <c r="O102" i="11"/>
  <c r="I83" i="11"/>
  <c r="I71" i="11" s="1"/>
  <c r="K71" i="11" s="1"/>
  <c r="O77" i="11"/>
  <c r="O49" i="11"/>
  <c r="N357" i="1"/>
  <c r="L379" i="11"/>
  <c r="L377" i="11" s="1"/>
  <c r="O377" i="11" s="1"/>
  <c r="N305" i="11"/>
  <c r="N303" i="11" s="1"/>
  <c r="M175" i="11"/>
  <c r="L96" i="11"/>
  <c r="O96" i="11" s="1"/>
  <c r="I93" i="11"/>
  <c r="K93" i="11" s="1"/>
  <c r="N97" i="11"/>
  <c r="O385" i="11"/>
  <c r="O325" i="11"/>
  <c r="M284" i="11"/>
  <c r="P284" i="11" s="1"/>
  <c r="O274" i="11"/>
  <c r="L235" i="11"/>
  <c r="I242" i="11"/>
  <c r="K242" i="11" s="1"/>
  <c r="P191" i="11"/>
  <c r="K172" i="11"/>
  <c r="O165" i="11"/>
  <c r="N141" i="11"/>
  <c r="N139" i="11" s="1"/>
  <c r="O80" i="11"/>
  <c r="L65" i="11"/>
  <c r="O65" i="11" s="1"/>
  <c r="P52" i="11"/>
  <c r="M46" i="11"/>
  <c r="N46" i="11"/>
  <c r="N44" i="11" s="1"/>
  <c r="P361" i="11"/>
  <c r="J332" i="11"/>
  <c r="K332" i="11" s="1"/>
  <c r="L336" i="11"/>
  <c r="O336" i="11" s="1"/>
  <c r="L305" i="11"/>
  <c r="O305" i="11" s="1"/>
  <c r="P290" i="11"/>
  <c r="N268" i="11"/>
  <c r="N266" i="11" s="1"/>
  <c r="P181" i="11"/>
  <c r="N127" i="11"/>
  <c r="N125" i="11" s="1"/>
  <c r="N61" i="11"/>
  <c r="N59" i="11" s="1"/>
  <c r="O194" i="10"/>
  <c r="O382" i="11"/>
  <c r="N358" i="11"/>
  <c r="N356" i="11" s="1"/>
  <c r="M359" i="11"/>
  <c r="P359" i="11" s="1"/>
  <c r="M335" i="11"/>
  <c r="M333" i="11" s="1"/>
  <c r="L323" i="11"/>
  <c r="O323" i="11" s="1"/>
  <c r="P287" i="11"/>
  <c r="K249" i="11"/>
  <c r="O99" i="11"/>
  <c r="I82" i="11"/>
  <c r="K82" i="11" s="1"/>
  <c r="P64" i="11"/>
  <c r="P336" i="11"/>
  <c r="I195" i="11"/>
  <c r="K195" i="11" s="1"/>
  <c r="M142" i="11"/>
  <c r="P142" i="11" s="1"/>
  <c r="L269" i="11"/>
  <c r="O269" i="11" s="1"/>
  <c r="L254" i="11"/>
  <c r="O254" i="11" s="1"/>
  <c r="L61" i="11"/>
  <c r="L59" i="11" s="1"/>
  <c r="N379" i="11"/>
  <c r="N377" i="11" s="1"/>
  <c r="O361" i="11"/>
  <c r="O338" i="11"/>
  <c r="P321" i="11"/>
  <c r="P308" i="11"/>
  <c r="O290" i="11"/>
  <c r="O267" i="11"/>
  <c r="J231" i="11"/>
  <c r="J185" i="11" s="1"/>
  <c r="O181" i="11"/>
  <c r="N159" i="11"/>
  <c r="N157" i="11" s="1"/>
  <c r="M141" i="11"/>
  <c r="P141" i="11" s="1"/>
  <c r="M127" i="11"/>
  <c r="P127" i="11" s="1"/>
  <c r="L306" i="11"/>
  <c r="O306" i="11" s="1"/>
  <c r="K108" i="11"/>
  <c r="I92" i="11"/>
  <c r="K92" i="11" s="1"/>
  <c r="M19" i="11"/>
  <c r="P22" i="11"/>
  <c r="M189" i="11"/>
  <c r="O144" i="11"/>
  <c r="L142" i="11"/>
  <c r="O142" i="11" s="1"/>
  <c r="L19" i="11"/>
  <c r="O22" i="11"/>
  <c r="K369" i="10"/>
  <c r="O341" i="10"/>
  <c r="P338" i="10"/>
  <c r="K344" i="11"/>
  <c r="N335" i="11"/>
  <c r="N333" i="11" s="1"/>
  <c r="O321" i="11"/>
  <c r="P311" i="11"/>
  <c r="O308" i="11"/>
  <c r="M305" i="11"/>
  <c r="L284" i="11"/>
  <c r="O284" i="11" s="1"/>
  <c r="M268" i="11"/>
  <c r="M192" i="11"/>
  <c r="P192" i="11" s="1"/>
  <c r="O187" i="11"/>
  <c r="L141" i="11"/>
  <c r="O141" i="11" s="1"/>
  <c r="N74" i="11"/>
  <c r="N72" i="11" s="1"/>
  <c r="M26" i="11"/>
  <c r="P26" i="11" s="1"/>
  <c r="P67" i="11"/>
  <c r="N23" i="11"/>
  <c r="M269" i="11"/>
  <c r="P269" i="11" s="1"/>
  <c r="I202" i="11"/>
  <c r="K202" i="11" s="1"/>
  <c r="K209" i="11"/>
  <c r="L309" i="11"/>
  <c r="O309" i="11" s="1"/>
  <c r="O130" i="11"/>
  <c r="L128" i="11"/>
  <c r="O128" i="11" s="1"/>
  <c r="O283" i="11"/>
  <c r="O271" i="11"/>
  <c r="L243" i="11"/>
  <c r="L233" i="11"/>
  <c r="M188" i="11"/>
  <c r="K169" i="11"/>
  <c r="M145" i="11"/>
  <c r="P145" i="11" s="1"/>
  <c r="M131" i="11"/>
  <c r="P131" i="11" s="1"/>
  <c r="M62" i="11"/>
  <c r="P62" i="11" s="1"/>
  <c r="N26" i="11"/>
  <c r="N24" i="11" s="1"/>
  <c r="N50" i="11"/>
  <c r="M23" i="11"/>
  <c r="M21" i="11" s="1"/>
  <c r="P181" i="10"/>
  <c r="I253" i="11"/>
  <c r="K260" i="11"/>
  <c r="P178" i="11"/>
  <c r="N175" i="11"/>
  <c r="N173" i="11" s="1"/>
  <c r="K154" i="11"/>
  <c r="O147" i="11"/>
  <c r="L145" i="11"/>
  <c r="O145" i="11" s="1"/>
  <c r="P140" i="11"/>
  <c r="O133" i="11"/>
  <c r="L131" i="11"/>
  <c r="O131" i="11" s="1"/>
  <c r="P126" i="11"/>
  <c r="L62" i="11"/>
  <c r="O62" i="11" s="1"/>
  <c r="O60" i="11"/>
  <c r="L26" i="11"/>
  <c r="N19" i="11"/>
  <c r="L23" i="11"/>
  <c r="L159" i="11"/>
  <c r="M96" i="11"/>
  <c r="L74" i="11"/>
  <c r="L46" i="11"/>
  <c r="K198" i="10"/>
  <c r="K330" i="10"/>
  <c r="N322" i="10"/>
  <c r="N320" i="10" s="1"/>
  <c r="P80" i="10"/>
  <c r="K260" i="10"/>
  <c r="I238" i="10"/>
  <c r="K238" i="10" s="1"/>
  <c r="M127" i="10"/>
  <c r="P127" i="10" s="1"/>
  <c r="L305" i="10"/>
  <c r="O305" i="10" s="1"/>
  <c r="K365" i="10"/>
  <c r="O338" i="10"/>
  <c r="O274" i="10"/>
  <c r="N188" i="10"/>
  <c r="N186" i="10" s="1"/>
  <c r="O181" i="10"/>
  <c r="N61" i="10"/>
  <c r="N59" i="10" s="1"/>
  <c r="M383" i="10"/>
  <c r="P383" i="10" s="1"/>
  <c r="O311" i="10"/>
  <c r="P271" i="10"/>
  <c r="L269" i="10"/>
  <c r="O269" i="10" s="1"/>
  <c r="I242" i="10"/>
  <c r="K242" i="10" s="1"/>
  <c r="M188" i="10"/>
  <c r="M186" i="10" s="1"/>
  <c r="N175" i="10"/>
  <c r="N173" i="10" s="1"/>
  <c r="O144" i="10"/>
  <c r="P99" i="10"/>
  <c r="O52" i="10"/>
  <c r="P49" i="10"/>
  <c r="O382" i="10"/>
  <c r="M380" i="10"/>
  <c r="P380" i="10" s="1"/>
  <c r="P308" i="10"/>
  <c r="L306" i="10"/>
  <c r="O306" i="10" s="1"/>
  <c r="L234" i="10"/>
  <c r="M175" i="10"/>
  <c r="M173" i="10" s="1"/>
  <c r="P173" i="10" s="1"/>
  <c r="I137" i="10"/>
  <c r="K137" i="10" s="1"/>
  <c r="O49" i="10"/>
  <c r="N358" i="10"/>
  <c r="N356" i="10" s="1"/>
  <c r="L254" i="10"/>
  <c r="O254" i="10" s="1"/>
  <c r="K183" i="10"/>
  <c r="N159" i="10"/>
  <c r="N157" i="10" s="1"/>
  <c r="K346" i="10"/>
  <c r="L235" i="9"/>
  <c r="K183" i="9"/>
  <c r="P364" i="10"/>
  <c r="J343" i="10"/>
  <c r="N335" i="10"/>
  <c r="N333" i="10" s="1"/>
  <c r="O328" i="10"/>
  <c r="O308" i="10"/>
  <c r="O271" i="10"/>
  <c r="N232" i="10"/>
  <c r="L214" i="10"/>
  <c r="O214" i="10" s="1"/>
  <c r="O191" i="10"/>
  <c r="N189" i="10"/>
  <c r="O189" i="10" s="1"/>
  <c r="O178" i="10"/>
  <c r="N176" i="10"/>
  <c r="P162" i="10"/>
  <c r="N160" i="10"/>
  <c r="L141" i="10"/>
  <c r="O141" i="10" s="1"/>
  <c r="P102" i="10"/>
  <c r="L100" i="10"/>
  <c r="O100" i="10" s="1"/>
  <c r="O80" i="10"/>
  <c r="N46" i="10"/>
  <c r="N44" i="10" s="1"/>
  <c r="N47" i="10"/>
  <c r="P47" i="10" s="1"/>
  <c r="L322" i="10"/>
  <c r="O322" i="10" s="1"/>
  <c r="L127" i="10"/>
  <c r="O127" i="10" s="1"/>
  <c r="P64" i="10"/>
  <c r="O385" i="10"/>
  <c r="O364" i="10"/>
  <c r="P336" i="10"/>
  <c r="O325" i="10"/>
  <c r="N323" i="10"/>
  <c r="L236" i="10"/>
  <c r="K220" i="10"/>
  <c r="K209" i="10"/>
  <c r="L188" i="10"/>
  <c r="L175" i="10"/>
  <c r="O175" i="10" s="1"/>
  <c r="O147" i="10"/>
  <c r="O133" i="10"/>
  <c r="L97" i="10"/>
  <c r="O97" i="10" s="1"/>
  <c r="P77" i="10"/>
  <c r="K293" i="9"/>
  <c r="P361" i="10"/>
  <c r="P341" i="10"/>
  <c r="O336" i="10"/>
  <c r="N305" i="10"/>
  <c r="N303" i="10" s="1"/>
  <c r="I302" i="10"/>
  <c r="K302" i="10" s="1"/>
  <c r="L284" i="10"/>
  <c r="O284" i="10" s="1"/>
  <c r="N268" i="10"/>
  <c r="N266" i="10" s="1"/>
  <c r="L235" i="10"/>
  <c r="P144" i="10"/>
  <c r="O130" i="10"/>
  <c r="L128" i="10"/>
  <c r="O128" i="10" s="1"/>
  <c r="I93" i="10"/>
  <c r="K93" i="10" s="1"/>
  <c r="I82" i="10"/>
  <c r="K82" i="10" s="1"/>
  <c r="O77" i="10"/>
  <c r="K368" i="10"/>
  <c r="O361" i="10"/>
  <c r="N359" i="10"/>
  <c r="P359" i="10" s="1"/>
  <c r="P290" i="10"/>
  <c r="N284" i="10"/>
  <c r="N282" i="10" s="1"/>
  <c r="N127" i="10"/>
  <c r="N125" i="10" s="1"/>
  <c r="N74" i="10"/>
  <c r="N72" i="10" s="1"/>
  <c r="M65" i="10"/>
  <c r="P65" i="10" s="1"/>
  <c r="N62" i="10"/>
  <c r="P62" i="10" s="1"/>
  <c r="I281" i="10"/>
  <c r="K281" i="10" s="1"/>
  <c r="O64" i="10"/>
  <c r="L62" i="10"/>
  <c r="P341" i="8"/>
  <c r="K369" i="9"/>
  <c r="P338" i="9"/>
  <c r="L233" i="9"/>
  <c r="N379" i="10"/>
  <c r="N377" i="10" s="1"/>
  <c r="M285" i="10"/>
  <c r="P285" i="10" s="1"/>
  <c r="L243" i="10"/>
  <c r="K230" i="10"/>
  <c r="M163" i="10"/>
  <c r="P163" i="10" s="1"/>
  <c r="N141" i="10"/>
  <c r="N139" i="10" s="1"/>
  <c r="P133" i="10"/>
  <c r="M131" i="10"/>
  <c r="P131" i="10" s="1"/>
  <c r="N285" i="10"/>
  <c r="L61" i="10"/>
  <c r="N335" i="8"/>
  <c r="N333" i="8" s="1"/>
  <c r="N175" i="9"/>
  <c r="N173" i="9" s="1"/>
  <c r="M379" i="10"/>
  <c r="K371" i="10"/>
  <c r="K344" i="10"/>
  <c r="M322" i="10"/>
  <c r="P322" i="10" s="1"/>
  <c r="L285" i="10"/>
  <c r="O285" i="10" s="1"/>
  <c r="I280" i="10"/>
  <c r="K280" i="10" s="1"/>
  <c r="K229" i="10"/>
  <c r="L222" i="10"/>
  <c r="O222" i="10" s="1"/>
  <c r="M189" i="10"/>
  <c r="M176" i="10"/>
  <c r="P176" i="10" s="1"/>
  <c r="M159" i="10"/>
  <c r="K154" i="10"/>
  <c r="M141" i="10"/>
  <c r="P141" i="10" s="1"/>
  <c r="M26" i="10"/>
  <c r="O19" i="10"/>
  <c r="N19" i="10"/>
  <c r="N23" i="10"/>
  <c r="N21" i="10" s="1"/>
  <c r="L131" i="9"/>
  <c r="O131" i="9" s="1"/>
  <c r="L128" i="9"/>
  <c r="O128" i="9" s="1"/>
  <c r="L379" i="10"/>
  <c r="M358" i="10"/>
  <c r="M335" i="10"/>
  <c r="P311" i="10"/>
  <c r="P274" i="10"/>
  <c r="L233" i="10"/>
  <c r="O162" i="10"/>
  <c r="L159" i="10"/>
  <c r="O159" i="10" s="1"/>
  <c r="N128" i="10"/>
  <c r="O60" i="10"/>
  <c r="M19" i="10"/>
  <c r="P22" i="10"/>
  <c r="N26" i="10"/>
  <c r="N24" i="10" s="1"/>
  <c r="K346" i="8"/>
  <c r="P311" i="9"/>
  <c r="L358" i="10"/>
  <c r="L356" i="10" s="1"/>
  <c r="L335" i="10"/>
  <c r="L333" i="10" s="1"/>
  <c r="J332" i="10"/>
  <c r="K332" i="10" s="1"/>
  <c r="M323" i="10"/>
  <c r="P323" i="10" s="1"/>
  <c r="P321" i="10"/>
  <c r="M305" i="10"/>
  <c r="L288" i="10"/>
  <c r="O288" i="10" s="1"/>
  <c r="M268" i="10"/>
  <c r="L203" i="10"/>
  <c r="O203" i="10" s="1"/>
  <c r="P147" i="10"/>
  <c r="P130" i="10"/>
  <c r="M128" i="10"/>
  <c r="P128" i="10" s="1"/>
  <c r="K108" i="10"/>
  <c r="I92" i="10"/>
  <c r="K92" i="10" s="1"/>
  <c r="I83" i="10"/>
  <c r="L26" i="10"/>
  <c r="L100" i="8"/>
  <c r="O100" i="8" s="1"/>
  <c r="O147" i="9"/>
  <c r="O144" i="9"/>
  <c r="M326" i="10"/>
  <c r="P326" i="10" s="1"/>
  <c r="P287" i="10"/>
  <c r="P191" i="10"/>
  <c r="P178" i="10"/>
  <c r="K169" i="10"/>
  <c r="O165" i="10"/>
  <c r="O158" i="10"/>
  <c r="I138" i="10"/>
  <c r="K138" i="10" s="1"/>
  <c r="O67" i="10"/>
  <c r="L65" i="10"/>
  <c r="O65" i="10" s="1"/>
  <c r="M61" i="10"/>
  <c r="O99" i="10"/>
  <c r="K85" i="10"/>
  <c r="O25" i="10"/>
  <c r="M23" i="10"/>
  <c r="N96" i="10"/>
  <c r="N94" i="10" s="1"/>
  <c r="M74" i="10"/>
  <c r="M46" i="10"/>
  <c r="L23" i="10"/>
  <c r="N100" i="10"/>
  <c r="M96" i="10"/>
  <c r="P96" i="10" s="1"/>
  <c r="L74" i="10"/>
  <c r="O74" i="10" s="1"/>
  <c r="M50" i="10"/>
  <c r="P50" i="10" s="1"/>
  <c r="L46" i="10"/>
  <c r="L44" i="10" s="1"/>
  <c r="K346" i="9"/>
  <c r="O290" i="9"/>
  <c r="P271" i="9"/>
  <c r="K198" i="9"/>
  <c r="N305" i="9"/>
  <c r="N303" i="9" s="1"/>
  <c r="N339" i="8"/>
  <c r="L383" i="9"/>
  <c r="O383" i="9" s="1"/>
  <c r="P361" i="9"/>
  <c r="P99" i="9"/>
  <c r="K292" i="9"/>
  <c r="L236" i="9"/>
  <c r="I93" i="9"/>
  <c r="K93" i="9" s="1"/>
  <c r="O165" i="8"/>
  <c r="P382" i="9"/>
  <c r="J343" i="9"/>
  <c r="K330" i="9"/>
  <c r="P165" i="9"/>
  <c r="P64" i="9"/>
  <c r="J351" i="9"/>
  <c r="P325" i="9"/>
  <c r="L222" i="9"/>
  <c r="O222" i="9" s="1"/>
  <c r="M192" i="9"/>
  <c r="P192" i="9" s="1"/>
  <c r="O162" i="9"/>
  <c r="O80" i="9"/>
  <c r="O52" i="9"/>
  <c r="P341" i="9"/>
  <c r="M336" i="9"/>
  <c r="P336" i="9" s="1"/>
  <c r="O181" i="9"/>
  <c r="N74" i="9"/>
  <c r="N72" i="9" s="1"/>
  <c r="N46" i="9"/>
  <c r="N44" i="9" s="1"/>
  <c r="N61" i="9"/>
  <c r="N59" i="9" s="1"/>
  <c r="L379" i="9"/>
  <c r="L377" i="9" s="1"/>
  <c r="O377" i="9" s="1"/>
  <c r="K368" i="9"/>
  <c r="K314" i="9"/>
  <c r="L234" i="9"/>
  <c r="K229" i="9"/>
  <c r="P191" i="9"/>
  <c r="P178" i="9"/>
  <c r="K198" i="8"/>
  <c r="L358" i="9"/>
  <c r="L356" i="9" s="1"/>
  <c r="O311" i="9"/>
  <c r="N284" i="9"/>
  <c r="N282" i="9" s="1"/>
  <c r="J231" i="9"/>
  <c r="J185" i="9" s="1"/>
  <c r="K221" i="9"/>
  <c r="L214" i="9"/>
  <c r="O214" i="9" s="1"/>
  <c r="P162" i="9"/>
  <c r="N141" i="9"/>
  <c r="N139" i="9" s="1"/>
  <c r="P102" i="9"/>
  <c r="L100" i="9"/>
  <c r="O100" i="9" s="1"/>
  <c r="P80" i="9"/>
  <c r="M65" i="9"/>
  <c r="P65" i="9" s="1"/>
  <c r="N62" i="9"/>
  <c r="P49" i="9"/>
  <c r="K344" i="9"/>
  <c r="O338" i="9"/>
  <c r="O308" i="9"/>
  <c r="N306" i="9"/>
  <c r="O306" i="9" s="1"/>
  <c r="I213" i="9"/>
  <c r="K213" i="9" s="1"/>
  <c r="K152" i="9"/>
  <c r="O49" i="9"/>
  <c r="O364" i="8"/>
  <c r="J332" i="9"/>
  <c r="K332" i="9" s="1"/>
  <c r="O178" i="9"/>
  <c r="N159" i="9"/>
  <c r="N157" i="9" s="1"/>
  <c r="N160" i="9"/>
  <c r="N127" i="9"/>
  <c r="N125" i="9" s="1"/>
  <c r="L26" i="9"/>
  <c r="L24" i="9" s="1"/>
  <c r="O24" i="9" s="1"/>
  <c r="N47" i="9"/>
  <c r="O47" i="9" s="1"/>
  <c r="N75" i="9"/>
  <c r="P75" i="9" s="1"/>
  <c r="P385" i="9"/>
  <c r="M362" i="9"/>
  <c r="P362" i="9" s="1"/>
  <c r="M359" i="9"/>
  <c r="P359" i="9" s="1"/>
  <c r="M335" i="9"/>
  <c r="M333" i="9" s="1"/>
  <c r="N335" i="9"/>
  <c r="N333" i="9" s="1"/>
  <c r="M305" i="9"/>
  <c r="M303" i="9" s="1"/>
  <c r="N268" i="9"/>
  <c r="N266" i="9" s="1"/>
  <c r="N176" i="9"/>
  <c r="L141" i="9"/>
  <c r="L139" i="9" s="1"/>
  <c r="L127" i="9"/>
  <c r="O127" i="9" s="1"/>
  <c r="P77" i="9"/>
  <c r="L380" i="9"/>
  <c r="O380" i="9" s="1"/>
  <c r="K371" i="9"/>
  <c r="O336" i="9"/>
  <c r="P290" i="9"/>
  <c r="L203" i="9"/>
  <c r="O203" i="9" s="1"/>
  <c r="K195" i="9"/>
  <c r="N188" i="9"/>
  <c r="N186" i="9" s="1"/>
  <c r="P181" i="9"/>
  <c r="K169" i="9"/>
  <c r="O165" i="9"/>
  <c r="K154" i="9"/>
  <c r="L96" i="9"/>
  <c r="L94" i="9" s="1"/>
  <c r="O94" i="9" s="1"/>
  <c r="O77" i="9"/>
  <c r="P19" i="9"/>
  <c r="P328" i="8"/>
  <c r="P325" i="8"/>
  <c r="O290" i="8"/>
  <c r="P287" i="8"/>
  <c r="O382" i="9"/>
  <c r="O341" i="9"/>
  <c r="L335" i="9"/>
  <c r="L326" i="9"/>
  <c r="O326" i="9" s="1"/>
  <c r="N322" i="9"/>
  <c r="N320" i="9" s="1"/>
  <c r="L254" i="9"/>
  <c r="O254" i="9" s="1"/>
  <c r="L243" i="9"/>
  <c r="I202" i="9"/>
  <c r="K202" i="9" s="1"/>
  <c r="K209" i="9"/>
  <c r="M189" i="9"/>
  <c r="P189" i="9" s="1"/>
  <c r="N142" i="9"/>
  <c r="O142" i="9" s="1"/>
  <c r="N23" i="9"/>
  <c r="N128" i="9"/>
  <c r="K108" i="9"/>
  <c r="I92" i="9"/>
  <c r="K92" i="9" s="1"/>
  <c r="I83" i="9"/>
  <c r="M62" i="9"/>
  <c r="N145" i="9"/>
  <c r="I365" i="9"/>
  <c r="K365" i="9" s="1"/>
  <c r="L359" i="9"/>
  <c r="O359" i="9" s="1"/>
  <c r="O274" i="9"/>
  <c r="L272" i="9"/>
  <c r="O272" i="9" s="1"/>
  <c r="O187" i="9"/>
  <c r="P147" i="9"/>
  <c r="M145" i="9"/>
  <c r="P145" i="9" s="1"/>
  <c r="P140" i="9"/>
  <c r="L358" i="8"/>
  <c r="N379" i="9"/>
  <c r="N377" i="9" s="1"/>
  <c r="O364" i="9"/>
  <c r="O361" i="9"/>
  <c r="P334" i="9"/>
  <c r="M322" i="9"/>
  <c r="P322" i="9" s="1"/>
  <c r="P287" i="9"/>
  <c r="M284" i="9"/>
  <c r="O271" i="9"/>
  <c r="L269" i="9"/>
  <c r="O269" i="9" s="1"/>
  <c r="M268" i="9"/>
  <c r="O194" i="9"/>
  <c r="L192" i="9"/>
  <c r="O192" i="9" s="1"/>
  <c r="M188" i="9"/>
  <c r="P144" i="9"/>
  <c r="M142" i="9"/>
  <c r="P130" i="9"/>
  <c r="M128" i="9"/>
  <c r="P128" i="9" s="1"/>
  <c r="O67" i="9"/>
  <c r="L65" i="9"/>
  <c r="O65" i="9" s="1"/>
  <c r="M61" i="9"/>
  <c r="L323" i="9"/>
  <c r="O323" i="9" s="1"/>
  <c r="P133" i="9"/>
  <c r="M131" i="9"/>
  <c r="P131" i="9" s="1"/>
  <c r="M26" i="9"/>
  <c r="O19" i="9"/>
  <c r="M306" i="9"/>
  <c r="P126" i="9"/>
  <c r="O60" i="9"/>
  <c r="M379" i="9"/>
  <c r="P379" i="9" s="1"/>
  <c r="N358" i="9"/>
  <c r="N356" i="9" s="1"/>
  <c r="L322" i="9"/>
  <c r="P308" i="9"/>
  <c r="O287" i="9"/>
  <c r="L284" i="9"/>
  <c r="O284" i="9" s="1"/>
  <c r="P274" i="9"/>
  <c r="L268" i="9"/>
  <c r="O268" i="9" s="1"/>
  <c r="I253" i="9"/>
  <c r="K253" i="9" s="1"/>
  <c r="K260" i="9"/>
  <c r="I238" i="9"/>
  <c r="K238" i="9" s="1"/>
  <c r="I242" i="9"/>
  <c r="K249" i="9"/>
  <c r="O191" i="9"/>
  <c r="L189" i="9"/>
  <c r="O189" i="9" s="1"/>
  <c r="L188" i="9"/>
  <c r="N26" i="9"/>
  <c r="N24" i="9" s="1"/>
  <c r="I82" i="9"/>
  <c r="O64" i="9"/>
  <c r="L62" i="9"/>
  <c r="L61" i="9"/>
  <c r="M326" i="9"/>
  <c r="P326" i="9" s="1"/>
  <c r="P64" i="8"/>
  <c r="M358" i="9"/>
  <c r="M356" i="9" s="1"/>
  <c r="L305" i="9"/>
  <c r="L303" i="9" s="1"/>
  <c r="N232" i="9"/>
  <c r="M141" i="9"/>
  <c r="M127" i="9"/>
  <c r="P127" i="9" s="1"/>
  <c r="N19" i="9"/>
  <c r="K153" i="9"/>
  <c r="O99" i="9"/>
  <c r="K85" i="9"/>
  <c r="O25" i="9"/>
  <c r="M23" i="9"/>
  <c r="M175" i="9"/>
  <c r="M159" i="9"/>
  <c r="N96" i="9"/>
  <c r="N94" i="9" s="1"/>
  <c r="M74" i="9"/>
  <c r="M46" i="9"/>
  <c r="L23" i="9"/>
  <c r="L175" i="9"/>
  <c r="O175" i="9" s="1"/>
  <c r="L159" i="9"/>
  <c r="O159" i="9" s="1"/>
  <c r="N100" i="9"/>
  <c r="M96" i="9"/>
  <c r="P96" i="9" s="1"/>
  <c r="L74" i="9"/>
  <c r="M50" i="9"/>
  <c r="P50" i="9" s="1"/>
  <c r="L46" i="9"/>
  <c r="P22" i="9"/>
  <c r="L339" i="8"/>
  <c r="O339" i="8" s="1"/>
  <c r="M379" i="8"/>
  <c r="P379" i="8" s="1"/>
  <c r="P338" i="8"/>
  <c r="O80" i="8"/>
  <c r="O338" i="8"/>
  <c r="L175" i="8"/>
  <c r="L173" i="8" s="1"/>
  <c r="P47" i="8"/>
  <c r="P361" i="8"/>
  <c r="K293" i="8"/>
  <c r="L235" i="8"/>
  <c r="I137" i="8"/>
  <c r="K137" i="8" s="1"/>
  <c r="P385" i="8"/>
  <c r="L236" i="8"/>
  <c r="L222" i="8"/>
  <c r="O222" i="8" s="1"/>
  <c r="N188" i="8"/>
  <c r="N186" i="8" s="1"/>
  <c r="O181" i="8"/>
  <c r="P178" i="8"/>
  <c r="M96" i="8"/>
  <c r="P96" i="8" s="1"/>
  <c r="P382" i="8"/>
  <c r="J343" i="8"/>
  <c r="N378" i="1"/>
  <c r="P80" i="7"/>
  <c r="M272" i="8"/>
  <c r="P272" i="8" s="1"/>
  <c r="P162" i="8"/>
  <c r="N141" i="8"/>
  <c r="N139" i="8" s="1"/>
  <c r="P77" i="8"/>
  <c r="O49" i="8"/>
  <c r="N358" i="8"/>
  <c r="N356" i="8" s="1"/>
  <c r="L359" i="8"/>
  <c r="O359" i="8" s="1"/>
  <c r="L335" i="8"/>
  <c r="L333" i="8" s="1"/>
  <c r="N305" i="8"/>
  <c r="N303" i="8" s="1"/>
  <c r="M306" i="8"/>
  <c r="P306" i="8" s="1"/>
  <c r="N268" i="8"/>
  <c r="N266" i="8" s="1"/>
  <c r="M269" i="8"/>
  <c r="P269" i="8" s="1"/>
  <c r="L254" i="8"/>
  <c r="O254" i="8" s="1"/>
  <c r="L234" i="8"/>
  <c r="I242" i="8"/>
  <c r="K242" i="8" s="1"/>
  <c r="O178" i="8"/>
  <c r="L176" i="8"/>
  <c r="O176" i="8" s="1"/>
  <c r="K169" i="8"/>
  <c r="P165" i="8"/>
  <c r="M127" i="8"/>
  <c r="P127" i="8" s="1"/>
  <c r="L96" i="8"/>
  <c r="O96" i="8" s="1"/>
  <c r="P80" i="8"/>
  <c r="N23" i="8"/>
  <c r="N21" i="8" s="1"/>
  <c r="M284" i="7"/>
  <c r="P284" i="7" s="1"/>
  <c r="K365" i="8"/>
  <c r="P359" i="8"/>
  <c r="L322" i="8"/>
  <c r="O322" i="8" s="1"/>
  <c r="L243" i="8"/>
  <c r="P102" i="8"/>
  <c r="I83" i="8"/>
  <c r="I93" i="8"/>
  <c r="K93" i="8" s="1"/>
  <c r="P64" i="7"/>
  <c r="O382" i="8"/>
  <c r="K369" i="8"/>
  <c r="P364" i="8"/>
  <c r="O357" i="8"/>
  <c r="J351" i="8"/>
  <c r="L326" i="8"/>
  <c r="O326" i="8" s="1"/>
  <c r="P290" i="8"/>
  <c r="M192" i="8"/>
  <c r="P192" i="8" s="1"/>
  <c r="N189" i="8"/>
  <c r="P189" i="8" s="1"/>
  <c r="P176" i="8"/>
  <c r="O162" i="8"/>
  <c r="K154" i="8"/>
  <c r="O77" i="8"/>
  <c r="N61" i="8"/>
  <c r="N59" i="8" s="1"/>
  <c r="M62" i="8"/>
  <c r="P62" i="8" s="1"/>
  <c r="O52" i="8"/>
  <c r="P49" i="8"/>
  <c r="K293" i="7"/>
  <c r="L235" i="7"/>
  <c r="N379" i="8"/>
  <c r="N377" i="8" s="1"/>
  <c r="N380" i="8"/>
  <c r="K172" i="8"/>
  <c r="P99" i="8"/>
  <c r="M97" i="8"/>
  <c r="P97" i="8" s="1"/>
  <c r="L19" i="8"/>
  <c r="J231" i="8"/>
  <c r="J185" i="8" s="1"/>
  <c r="O385" i="8"/>
  <c r="M380" i="8"/>
  <c r="P380" i="8" s="1"/>
  <c r="K368" i="8"/>
  <c r="K344" i="8"/>
  <c r="O325" i="8"/>
  <c r="L323" i="8"/>
  <c r="O323" i="8" s="1"/>
  <c r="K314" i="8"/>
  <c r="O287" i="8"/>
  <c r="L214" i="8"/>
  <c r="O214" i="8" s="1"/>
  <c r="K195" i="8"/>
  <c r="P191" i="8"/>
  <c r="P181" i="8"/>
  <c r="K153" i="8"/>
  <c r="O130" i="8"/>
  <c r="N127" i="8"/>
  <c r="N125" i="8" s="1"/>
  <c r="I319" i="8"/>
  <c r="K319" i="8" s="1"/>
  <c r="O267" i="8"/>
  <c r="O187" i="8"/>
  <c r="N145" i="8"/>
  <c r="O67" i="8"/>
  <c r="L65" i="8"/>
  <c r="O65" i="8" s="1"/>
  <c r="M61" i="8"/>
  <c r="O361" i="8"/>
  <c r="O274" i="8"/>
  <c r="L272" i="8"/>
  <c r="O272" i="8" s="1"/>
  <c r="M268" i="8"/>
  <c r="P268" i="8" s="1"/>
  <c r="I253" i="8"/>
  <c r="K260" i="8"/>
  <c r="I238" i="8"/>
  <c r="K238" i="8" s="1"/>
  <c r="N232" i="8"/>
  <c r="I202" i="8"/>
  <c r="K202" i="8" s="1"/>
  <c r="K209" i="8"/>
  <c r="O194" i="8"/>
  <c r="L192" i="8"/>
  <c r="O192" i="8" s="1"/>
  <c r="M188" i="8"/>
  <c r="P147" i="8"/>
  <c r="M145" i="8"/>
  <c r="P145" i="8" s="1"/>
  <c r="O64" i="8"/>
  <c r="L62" i="8"/>
  <c r="O62" i="8" s="1"/>
  <c r="L61" i="8"/>
  <c r="O47" i="8"/>
  <c r="N19" i="8"/>
  <c r="O308" i="8"/>
  <c r="L306" i="8"/>
  <c r="O306" i="8" s="1"/>
  <c r="P130" i="8"/>
  <c r="M128" i="8"/>
  <c r="P128" i="8" s="1"/>
  <c r="O60" i="8"/>
  <c r="L236" i="7"/>
  <c r="K371" i="8"/>
  <c r="L336" i="8"/>
  <c r="O336" i="8" s="1"/>
  <c r="M309" i="8"/>
  <c r="P309" i="8" s="1"/>
  <c r="O271" i="8"/>
  <c r="L269" i="8"/>
  <c r="O269" i="8" s="1"/>
  <c r="L268" i="8"/>
  <c r="O268" i="8" s="1"/>
  <c r="O191" i="8"/>
  <c r="L189" i="8"/>
  <c r="L188" i="8"/>
  <c r="P144" i="8"/>
  <c r="M142" i="8"/>
  <c r="P142" i="8" s="1"/>
  <c r="P126" i="8"/>
  <c r="M19" i="8"/>
  <c r="P22" i="8"/>
  <c r="O385" i="7"/>
  <c r="L379" i="8"/>
  <c r="O379" i="8" s="1"/>
  <c r="M358" i="8"/>
  <c r="J332" i="8"/>
  <c r="K332" i="8" s="1"/>
  <c r="O304" i="8"/>
  <c r="I213" i="8"/>
  <c r="K213" i="8" s="1"/>
  <c r="L203" i="8"/>
  <c r="O203" i="8" s="1"/>
  <c r="M141" i="8"/>
  <c r="P141" i="8" s="1"/>
  <c r="P133" i="8"/>
  <c r="M131" i="8"/>
  <c r="P131" i="8" s="1"/>
  <c r="K108" i="8"/>
  <c r="I92" i="8"/>
  <c r="K92" i="8" s="1"/>
  <c r="N26" i="8"/>
  <c r="N24" i="8" s="1"/>
  <c r="L26" i="8"/>
  <c r="O26" i="8" s="1"/>
  <c r="O19" i="8"/>
  <c r="L305" i="8"/>
  <c r="O305" i="8" s="1"/>
  <c r="P140" i="8"/>
  <c r="K154" i="7"/>
  <c r="O52" i="7"/>
  <c r="N46" i="7"/>
  <c r="N44" i="7" s="1"/>
  <c r="O311" i="8"/>
  <c r="L309" i="8"/>
  <c r="O309" i="8" s="1"/>
  <c r="M305" i="8"/>
  <c r="P305" i="8" s="1"/>
  <c r="L233" i="8"/>
  <c r="I82" i="8"/>
  <c r="M65" i="8"/>
  <c r="P65" i="8" s="1"/>
  <c r="M26" i="8"/>
  <c r="M335" i="8"/>
  <c r="N284" i="8"/>
  <c r="N282" i="8" s="1"/>
  <c r="N175" i="8"/>
  <c r="N173" i="8" s="1"/>
  <c r="N159" i="8"/>
  <c r="N157" i="8" s="1"/>
  <c r="L141" i="8"/>
  <c r="O141" i="8" s="1"/>
  <c r="L127" i="8"/>
  <c r="O127" i="8" s="1"/>
  <c r="O99" i="8"/>
  <c r="K85" i="8"/>
  <c r="N74" i="8"/>
  <c r="N72" i="8" s="1"/>
  <c r="N46" i="8"/>
  <c r="N44" i="8" s="1"/>
  <c r="M23" i="8"/>
  <c r="M336" i="8"/>
  <c r="P336" i="8" s="1"/>
  <c r="N322" i="8"/>
  <c r="N320" i="8" s="1"/>
  <c r="M284" i="8"/>
  <c r="K229" i="8"/>
  <c r="M175" i="8"/>
  <c r="M159" i="8"/>
  <c r="L145" i="8"/>
  <c r="O145" i="8" s="1"/>
  <c r="L142" i="8"/>
  <c r="O142" i="8" s="1"/>
  <c r="L131" i="8"/>
  <c r="O131" i="8" s="1"/>
  <c r="N96" i="8"/>
  <c r="N94" i="8" s="1"/>
  <c r="M74" i="8"/>
  <c r="N50" i="8"/>
  <c r="M46" i="8"/>
  <c r="L23" i="8"/>
  <c r="M322" i="8"/>
  <c r="K292" i="8"/>
  <c r="L284" i="8"/>
  <c r="K183" i="8"/>
  <c r="L159" i="8"/>
  <c r="K84" i="8"/>
  <c r="L74" i="8"/>
  <c r="O74" i="8" s="1"/>
  <c r="M50" i="8"/>
  <c r="P50" i="8" s="1"/>
  <c r="L46" i="8"/>
  <c r="L44" i="8" s="1"/>
  <c r="O22" i="8"/>
  <c r="L214" i="7"/>
  <c r="O214" i="7" s="1"/>
  <c r="P133" i="7"/>
  <c r="J332" i="7"/>
  <c r="K332" i="7" s="1"/>
  <c r="P364" i="7"/>
  <c r="L362" i="7"/>
  <c r="O362" i="7" s="1"/>
  <c r="O181" i="7"/>
  <c r="O178" i="7"/>
  <c r="L222" i="7"/>
  <c r="O222" i="7" s="1"/>
  <c r="M188" i="7"/>
  <c r="M186" i="7" s="1"/>
  <c r="M159" i="7"/>
  <c r="M157" i="7" s="1"/>
  <c r="P157" i="7" s="1"/>
  <c r="L100" i="7"/>
  <c r="O100" i="7" s="1"/>
  <c r="K346" i="7"/>
  <c r="N268" i="7"/>
  <c r="N266" i="7" s="1"/>
  <c r="K109" i="6"/>
  <c r="O382" i="7"/>
  <c r="P359" i="7"/>
  <c r="L142" i="7"/>
  <c r="O142" i="7" s="1"/>
  <c r="O144" i="7"/>
  <c r="L145" i="7"/>
  <c r="O145" i="7" s="1"/>
  <c r="O147" i="7"/>
  <c r="L234" i="6"/>
  <c r="P341" i="7"/>
  <c r="L326" i="7"/>
  <c r="O326" i="7" s="1"/>
  <c r="P290" i="7"/>
  <c r="L254" i="7"/>
  <c r="O254" i="7" s="1"/>
  <c r="M335" i="7"/>
  <c r="M333" i="7" s="1"/>
  <c r="K368" i="6"/>
  <c r="K330" i="6"/>
  <c r="O99" i="6"/>
  <c r="J343" i="7"/>
  <c r="O338" i="7"/>
  <c r="M336" i="7"/>
  <c r="O271" i="7"/>
  <c r="K198" i="7"/>
  <c r="L62" i="7"/>
  <c r="O62" i="7" s="1"/>
  <c r="O64" i="7"/>
  <c r="M74" i="7"/>
  <c r="M72" i="7" s="1"/>
  <c r="P72" i="7" s="1"/>
  <c r="P176" i="7"/>
  <c r="O162" i="7"/>
  <c r="N379" i="7"/>
  <c r="N377" i="7" s="1"/>
  <c r="K368" i="7"/>
  <c r="O361" i="7"/>
  <c r="K344" i="7"/>
  <c r="L335" i="7"/>
  <c r="L333" i="7" s="1"/>
  <c r="L322" i="7"/>
  <c r="O322" i="7" s="1"/>
  <c r="O311" i="7"/>
  <c r="P287" i="7"/>
  <c r="L234" i="7"/>
  <c r="P181" i="7"/>
  <c r="N175" i="7"/>
  <c r="N173" i="7" s="1"/>
  <c r="P165" i="7"/>
  <c r="K152" i="7"/>
  <c r="O80" i="7"/>
  <c r="N61" i="7"/>
  <c r="N59" i="7" s="1"/>
  <c r="M61" i="7"/>
  <c r="M59" i="7" s="1"/>
  <c r="M127" i="6"/>
  <c r="P127" i="6" s="1"/>
  <c r="P328" i="7"/>
  <c r="N305" i="7"/>
  <c r="N303" i="7" s="1"/>
  <c r="M305" i="7"/>
  <c r="P305" i="7" s="1"/>
  <c r="K292" i="7"/>
  <c r="N284" i="7"/>
  <c r="N282" i="7" s="1"/>
  <c r="N285" i="7"/>
  <c r="N269" i="7"/>
  <c r="L243" i="7"/>
  <c r="K195" i="7"/>
  <c r="M175" i="7"/>
  <c r="L127" i="7"/>
  <c r="O127" i="7" s="1"/>
  <c r="M50" i="7"/>
  <c r="P50" i="7" s="1"/>
  <c r="M322" i="7"/>
  <c r="P322" i="7" s="1"/>
  <c r="M160" i="7"/>
  <c r="P160" i="7" s="1"/>
  <c r="P385" i="7"/>
  <c r="L305" i="7"/>
  <c r="O305" i="7" s="1"/>
  <c r="M285" i="7"/>
  <c r="P285" i="7" s="1"/>
  <c r="L268" i="7"/>
  <c r="O268" i="7" s="1"/>
  <c r="O194" i="7"/>
  <c r="O176" i="7"/>
  <c r="P162" i="7"/>
  <c r="O133" i="7"/>
  <c r="N96" i="7"/>
  <c r="N94" i="7" s="1"/>
  <c r="I82" i="7"/>
  <c r="K82" i="7" s="1"/>
  <c r="P49" i="7"/>
  <c r="N47" i="7"/>
  <c r="P47" i="7" s="1"/>
  <c r="O359" i="7"/>
  <c r="N358" i="7"/>
  <c r="N356" i="7" s="1"/>
  <c r="P325" i="7"/>
  <c r="N188" i="7"/>
  <c r="N186" i="7" s="1"/>
  <c r="N26" i="7"/>
  <c r="N24" i="7" s="1"/>
  <c r="P77" i="7"/>
  <c r="P382" i="7"/>
  <c r="K369" i="7"/>
  <c r="N322" i="7"/>
  <c r="N320" i="7" s="1"/>
  <c r="K314" i="7"/>
  <c r="O290" i="7"/>
  <c r="P191" i="7"/>
  <c r="L188" i="7"/>
  <c r="K183" i="7"/>
  <c r="P178" i="7"/>
  <c r="N159" i="7"/>
  <c r="N157" i="7" s="1"/>
  <c r="N160" i="7"/>
  <c r="P147" i="7"/>
  <c r="L141" i="7"/>
  <c r="O141" i="7" s="1"/>
  <c r="O130" i="7"/>
  <c r="L96" i="7"/>
  <c r="O96" i="7" s="1"/>
  <c r="N74" i="7"/>
  <c r="N72" i="7" s="1"/>
  <c r="M75" i="7"/>
  <c r="P75" i="7" s="1"/>
  <c r="M46" i="7"/>
  <c r="M44" i="7" s="1"/>
  <c r="M19" i="7"/>
  <c r="P19" i="7" s="1"/>
  <c r="K365" i="7"/>
  <c r="L233" i="7"/>
  <c r="P140" i="7"/>
  <c r="M192" i="7"/>
  <c r="P192" i="7" s="1"/>
  <c r="N131" i="7"/>
  <c r="M96" i="7"/>
  <c r="P96" i="7" s="1"/>
  <c r="O191" i="6"/>
  <c r="L358" i="7"/>
  <c r="O341" i="7"/>
  <c r="O308" i="7"/>
  <c r="L284" i="7"/>
  <c r="O284" i="7" s="1"/>
  <c r="O274" i="7"/>
  <c r="I238" i="7"/>
  <c r="K238" i="7" s="1"/>
  <c r="N232" i="7"/>
  <c r="I221" i="7"/>
  <c r="K221" i="7" s="1"/>
  <c r="I213" i="7"/>
  <c r="K213" i="7" s="1"/>
  <c r="O191" i="7"/>
  <c r="K169" i="7"/>
  <c r="O165" i="7"/>
  <c r="N141" i="7"/>
  <c r="N139" i="7" s="1"/>
  <c r="N127" i="7"/>
  <c r="N125" i="7" s="1"/>
  <c r="P102" i="7"/>
  <c r="M62" i="7"/>
  <c r="P62" i="7" s="1"/>
  <c r="O60" i="7"/>
  <c r="M26" i="7"/>
  <c r="P26" i="7" s="1"/>
  <c r="P22" i="7"/>
  <c r="P338" i="7"/>
  <c r="N336" i="7"/>
  <c r="L47" i="7"/>
  <c r="L23" i="7"/>
  <c r="K314" i="6"/>
  <c r="M379" i="7"/>
  <c r="K371" i="7"/>
  <c r="P361" i="7"/>
  <c r="M358" i="7"/>
  <c r="O287" i="7"/>
  <c r="M268" i="7"/>
  <c r="I253" i="7"/>
  <c r="K253" i="7" s="1"/>
  <c r="K260" i="7"/>
  <c r="P144" i="7"/>
  <c r="M141" i="7"/>
  <c r="P141" i="7" s="1"/>
  <c r="P130" i="7"/>
  <c r="M127" i="7"/>
  <c r="P127" i="7" s="1"/>
  <c r="O95" i="7"/>
  <c r="L74" i="7"/>
  <c r="O74" i="7" s="1"/>
  <c r="O67" i="7"/>
  <c r="L46" i="7"/>
  <c r="I202" i="7"/>
  <c r="K202" i="7" s="1"/>
  <c r="K209" i="7"/>
  <c r="O267" i="7"/>
  <c r="N23" i="7"/>
  <c r="P162" i="6"/>
  <c r="L379" i="7"/>
  <c r="O379" i="7" s="1"/>
  <c r="I319" i="7"/>
  <c r="K319" i="7" s="1"/>
  <c r="M306" i="7"/>
  <c r="P306" i="7" s="1"/>
  <c r="O304" i="7"/>
  <c r="M272" i="7"/>
  <c r="P272" i="7" s="1"/>
  <c r="L203" i="7"/>
  <c r="O203" i="7" s="1"/>
  <c r="M189" i="7"/>
  <c r="P189" i="7" s="1"/>
  <c r="L186" i="7"/>
  <c r="O187" i="7"/>
  <c r="L175" i="7"/>
  <c r="L173" i="7" s="1"/>
  <c r="P99" i="7"/>
  <c r="O77" i="7"/>
  <c r="O49" i="7"/>
  <c r="L26" i="7"/>
  <c r="N19" i="7"/>
  <c r="P126" i="7"/>
  <c r="L159" i="6"/>
  <c r="L157" i="6" s="1"/>
  <c r="O157" i="6" s="1"/>
  <c r="J351" i="7"/>
  <c r="M309" i="7"/>
  <c r="P309" i="7" s="1"/>
  <c r="M269" i="7"/>
  <c r="P269" i="7" s="1"/>
  <c r="K108" i="7"/>
  <c r="I92" i="7"/>
  <c r="K92" i="7" s="1"/>
  <c r="K229" i="6"/>
  <c r="P181" i="6"/>
  <c r="P178" i="6"/>
  <c r="N335" i="7"/>
  <c r="O189" i="7"/>
  <c r="K172" i="7"/>
  <c r="L159" i="7"/>
  <c r="O159" i="7" s="1"/>
  <c r="I93" i="7"/>
  <c r="K93" i="7" s="1"/>
  <c r="I83" i="7"/>
  <c r="M65" i="7"/>
  <c r="P65" i="7" s="1"/>
  <c r="L61" i="7"/>
  <c r="P25" i="7"/>
  <c r="O325" i="7"/>
  <c r="K249" i="7"/>
  <c r="I242" i="7"/>
  <c r="K153" i="7"/>
  <c r="O99" i="7"/>
  <c r="K85" i="7"/>
  <c r="O25" i="7"/>
  <c r="M23" i="7"/>
  <c r="M21" i="7" s="1"/>
  <c r="P364" i="6"/>
  <c r="J351" i="6"/>
  <c r="K346" i="6"/>
  <c r="M322" i="6"/>
  <c r="M320" i="6" s="1"/>
  <c r="P320" i="6" s="1"/>
  <c r="N268" i="6"/>
  <c r="N266" i="6" s="1"/>
  <c r="L214" i="6"/>
  <c r="O214" i="6" s="1"/>
  <c r="L192" i="6"/>
  <c r="O192" i="6" s="1"/>
  <c r="P80" i="6"/>
  <c r="L78" i="6"/>
  <c r="O78" i="6" s="1"/>
  <c r="L222" i="6"/>
  <c r="O222" i="6" s="1"/>
  <c r="N379" i="1"/>
  <c r="P178" i="5"/>
  <c r="M175" i="5"/>
  <c r="M173" i="5" s="1"/>
  <c r="N321" i="1"/>
  <c r="N320" i="1" s="1"/>
  <c r="L46" i="4"/>
  <c r="L44" i="4" s="1"/>
  <c r="J343" i="6"/>
  <c r="P341" i="6"/>
  <c r="L284" i="6"/>
  <c r="O284" i="6" s="1"/>
  <c r="I238" i="6"/>
  <c r="K238" i="6" s="1"/>
  <c r="O165" i="6"/>
  <c r="M141" i="6"/>
  <c r="P141" i="6" s="1"/>
  <c r="I137" i="6"/>
  <c r="K137" i="6" s="1"/>
  <c r="M96" i="6"/>
  <c r="M94" i="6" s="1"/>
  <c r="P94" i="6" s="1"/>
  <c r="I83" i="6"/>
  <c r="I71" i="6" s="1"/>
  <c r="K71" i="6" s="1"/>
  <c r="P77" i="6"/>
  <c r="P47" i="6"/>
  <c r="L383" i="6"/>
  <c r="O383" i="6" s="1"/>
  <c r="P338" i="6"/>
  <c r="P328" i="6"/>
  <c r="P311" i="6"/>
  <c r="P308" i="6"/>
  <c r="N305" i="6"/>
  <c r="N303" i="6" s="1"/>
  <c r="O290" i="6"/>
  <c r="L236" i="6"/>
  <c r="M192" i="6"/>
  <c r="P192" i="6" s="1"/>
  <c r="N127" i="6"/>
  <c r="N125" i="6" s="1"/>
  <c r="P64" i="6"/>
  <c r="O325" i="6"/>
  <c r="K369" i="6"/>
  <c r="K344" i="6"/>
  <c r="K293" i="6"/>
  <c r="L285" i="6"/>
  <c r="O285" i="6" s="1"/>
  <c r="K198" i="6"/>
  <c r="K153" i="6"/>
  <c r="L141" i="6"/>
  <c r="O141" i="6" s="1"/>
  <c r="O102" i="6"/>
  <c r="L74" i="6"/>
  <c r="L72" i="6" s="1"/>
  <c r="O72" i="6" s="1"/>
  <c r="L379" i="6"/>
  <c r="O379" i="6" s="1"/>
  <c r="M358" i="6"/>
  <c r="M356" i="6" s="1"/>
  <c r="N284" i="6"/>
  <c r="N282" i="6" s="1"/>
  <c r="M284" i="6"/>
  <c r="P284" i="6" s="1"/>
  <c r="O49" i="6"/>
  <c r="O361" i="6"/>
  <c r="M359" i="6"/>
  <c r="O341" i="6"/>
  <c r="P325" i="6"/>
  <c r="M305" i="6"/>
  <c r="P305" i="6" s="1"/>
  <c r="P290" i="6"/>
  <c r="K260" i="6"/>
  <c r="K249" i="6"/>
  <c r="L203" i="6"/>
  <c r="O203" i="6" s="1"/>
  <c r="O178" i="6"/>
  <c r="P165" i="6"/>
  <c r="L160" i="6"/>
  <c r="O160" i="6" s="1"/>
  <c r="N141" i="6"/>
  <c r="N139" i="6" s="1"/>
  <c r="M100" i="6"/>
  <c r="P100" i="6" s="1"/>
  <c r="L96" i="6"/>
  <c r="O96" i="6" s="1"/>
  <c r="L75" i="6"/>
  <c r="O75" i="6" s="1"/>
  <c r="N61" i="6"/>
  <c r="N59" i="6" s="1"/>
  <c r="M62" i="6"/>
  <c r="P62" i="6" s="1"/>
  <c r="O52" i="6"/>
  <c r="L46" i="6"/>
  <c r="L44" i="6" s="1"/>
  <c r="L233" i="6"/>
  <c r="L179" i="6"/>
  <c r="O179" i="6" s="1"/>
  <c r="K371" i="6"/>
  <c r="P361" i="6"/>
  <c r="N175" i="6"/>
  <c r="N173" i="6" s="1"/>
  <c r="O382" i="6"/>
  <c r="O338" i="6"/>
  <c r="L322" i="6"/>
  <c r="L320" i="6" s="1"/>
  <c r="O320" i="6" s="1"/>
  <c r="M175" i="6"/>
  <c r="P99" i="6"/>
  <c r="P49" i="6"/>
  <c r="L188" i="6"/>
  <c r="L380" i="6"/>
  <c r="O380" i="6" s="1"/>
  <c r="K365" i="6"/>
  <c r="J332" i="6"/>
  <c r="K332" i="6" s="1"/>
  <c r="I281" i="6"/>
  <c r="K281" i="6" s="1"/>
  <c r="L254" i="6"/>
  <c r="O254" i="6" s="1"/>
  <c r="L235" i="6"/>
  <c r="N188" i="6"/>
  <c r="N186" i="6" s="1"/>
  <c r="P189" i="6"/>
  <c r="L175" i="6"/>
  <c r="O364" i="6"/>
  <c r="M335" i="6"/>
  <c r="M333" i="6" s="1"/>
  <c r="O328" i="6"/>
  <c r="O287" i="6"/>
  <c r="P191" i="6"/>
  <c r="L189" i="6"/>
  <c r="O189" i="6" s="1"/>
  <c r="O162" i="6"/>
  <c r="M97" i="6"/>
  <c r="P97" i="6" s="1"/>
  <c r="K89" i="6"/>
  <c r="O77" i="6"/>
  <c r="O47" i="6"/>
  <c r="L243" i="6"/>
  <c r="M379" i="6"/>
  <c r="P379" i="6" s="1"/>
  <c r="I202" i="6"/>
  <c r="K202" i="6" s="1"/>
  <c r="K209" i="6"/>
  <c r="N23" i="6"/>
  <c r="K330" i="5"/>
  <c r="K260" i="5"/>
  <c r="L100" i="5"/>
  <c r="O100" i="5" s="1"/>
  <c r="M383" i="6"/>
  <c r="P383" i="6" s="1"/>
  <c r="M380" i="6"/>
  <c r="P380" i="6" s="1"/>
  <c r="N359" i="6"/>
  <c r="N336" i="6"/>
  <c r="P336" i="6" s="1"/>
  <c r="L305" i="6"/>
  <c r="O305" i="6" s="1"/>
  <c r="P271" i="6"/>
  <c r="M268" i="6"/>
  <c r="P268" i="6" s="1"/>
  <c r="I213" i="6"/>
  <c r="K213" i="6" s="1"/>
  <c r="N176" i="6"/>
  <c r="O174" i="6"/>
  <c r="N159" i="6"/>
  <c r="N157" i="6" s="1"/>
  <c r="P126" i="6"/>
  <c r="M65" i="6"/>
  <c r="P65" i="6" s="1"/>
  <c r="M26" i="6"/>
  <c r="N19" i="6"/>
  <c r="I231" i="6"/>
  <c r="N26" i="6"/>
  <c r="N24" i="6" s="1"/>
  <c r="P378" i="6"/>
  <c r="L358" i="6"/>
  <c r="L335" i="6"/>
  <c r="P304" i="6"/>
  <c r="L268" i="6"/>
  <c r="M188" i="6"/>
  <c r="M145" i="6"/>
  <c r="P145" i="6" s="1"/>
  <c r="M131" i="6"/>
  <c r="P131" i="6" s="1"/>
  <c r="K108" i="6"/>
  <c r="I92" i="6"/>
  <c r="K92" i="6" s="1"/>
  <c r="O60" i="6"/>
  <c r="M19" i="6"/>
  <c r="P22" i="6"/>
  <c r="N379" i="6"/>
  <c r="N377" i="6" s="1"/>
  <c r="L309" i="6"/>
  <c r="O309" i="6" s="1"/>
  <c r="O144" i="6"/>
  <c r="L142" i="6"/>
  <c r="O142" i="6" s="1"/>
  <c r="N285" i="6"/>
  <c r="P334" i="6"/>
  <c r="L306" i="6"/>
  <c r="O306" i="6" s="1"/>
  <c r="O304" i="6"/>
  <c r="P287" i="6"/>
  <c r="P274" i="6"/>
  <c r="P267" i="6"/>
  <c r="O147" i="6"/>
  <c r="L145" i="6"/>
  <c r="O145" i="6" s="1"/>
  <c r="P140" i="6"/>
  <c r="O133" i="6"/>
  <c r="L131" i="6"/>
  <c r="O131" i="6" s="1"/>
  <c r="N128" i="6"/>
  <c r="I82" i="6"/>
  <c r="O67" i="6"/>
  <c r="L65" i="6"/>
  <c r="O65" i="6" s="1"/>
  <c r="M61" i="6"/>
  <c r="M59" i="6" s="1"/>
  <c r="L26" i="6"/>
  <c r="O26" i="6" s="1"/>
  <c r="O19" i="6"/>
  <c r="N358" i="6"/>
  <c r="N356" i="6" s="1"/>
  <c r="N335" i="6"/>
  <c r="L272" i="6"/>
  <c r="O272" i="6" s="1"/>
  <c r="L235" i="5"/>
  <c r="L214" i="5"/>
  <c r="O214" i="5" s="1"/>
  <c r="K209" i="5"/>
  <c r="N322" i="6"/>
  <c r="N320" i="6" s="1"/>
  <c r="L269" i="6"/>
  <c r="O269" i="6" s="1"/>
  <c r="K169" i="6"/>
  <c r="K154" i="6"/>
  <c r="M142" i="6"/>
  <c r="P142" i="6" s="1"/>
  <c r="P130" i="6"/>
  <c r="M128" i="6"/>
  <c r="P128" i="6" s="1"/>
  <c r="O64" i="6"/>
  <c r="L23" i="6"/>
  <c r="L62" i="6"/>
  <c r="O62" i="6" s="1"/>
  <c r="L61" i="6"/>
  <c r="L59" i="6" s="1"/>
  <c r="L127" i="6"/>
  <c r="O127" i="6" s="1"/>
  <c r="N74" i="6"/>
  <c r="N72" i="6" s="1"/>
  <c r="N46" i="6"/>
  <c r="N44" i="6" s="1"/>
  <c r="M23" i="6"/>
  <c r="M21" i="6" s="1"/>
  <c r="M159" i="6"/>
  <c r="P159" i="6" s="1"/>
  <c r="L128" i="6"/>
  <c r="O128" i="6" s="1"/>
  <c r="N96" i="6"/>
  <c r="N94" i="6" s="1"/>
  <c r="M74" i="6"/>
  <c r="N50" i="6"/>
  <c r="M46" i="6"/>
  <c r="K183" i="6"/>
  <c r="K84" i="6"/>
  <c r="M50" i="6"/>
  <c r="P50" i="6" s="1"/>
  <c r="O22" i="6"/>
  <c r="O191" i="5"/>
  <c r="K346" i="5"/>
  <c r="K314" i="5"/>
  <c r="N305" i="5"/>
  <c r="N303" i="5" s="1"/>
  <c r="I136" i="5"/>
  <c r="K136" i="5" s="1"/>
  <c r="M131" i="5"/>
  <c r="P131" i="5" s="1"/>
  <c r="L128" i="5"/>
  <c r="O128" i="5" s="1"/>
  <c r="M379" i="5"/>
  <c r="P379" i="5" s="1"/>
  <c r="K251" i="5"/>
  <c r="K153" i="5"/>
  <c r="M127" i="5"/>
  <c r="P127" i="5" s="1"/>
  <c r="J332" i="5"/>
  <c r="L309" i="5"/>
  <c r="O309" i="5" s="1"/>
  <c r="O290" i="5"/>
  <c r="M288" i="5"/>
  <c r="P288" i="5" s="1"/>
  <c r="O64" i="5"/>
  <c r="L234" i="4"/>
  <c r="O308" i="5"/>
  <c r="N306" i="5"/>
  <c r="P287" i="5"/>
  <c r="L284" i="5"/>
  <c r="L282" i="5" s="1"/>
  <c r="O282" i="5" s="1"/>
  <c r="I280" i="5"/>
  <c r="K280" i="5" s="1"/>
  <c r="M269" i="5"/>
  <c r="P269" i="5" s="1"/>
  <c r="L159" i="5"/>
  <c r="O159" i="5" s="1"/>
  <c r="L96" i="5"/>
  <c r="O96" i="5" s="1"/>
  <c r="L203" i="5"/>
  <c r="O203" i="5" s="1"/>
  <c r="L175" i="5"/>
  <c r="L173" i="5" s="1"/>
  <c r="O67" i="5"/>
  <c r="K371" i="5"/>
  <c r="K368" i="5"/>
  <c r="L131" i="5"/>
  <c r="O131" i="5" s="1"/>
  <c r="K169" i="5"/>
  <c r="O144" i="5"/>
  <c r="N46" i="5"/>
  <c r="N44" i="5" s="1"/>
  <c r="K369" i="5"/>
  <c r="N268" i="5"/>
  <c r="N266" i="5" s="1"/>
  <c r="L236" i="5"/>
  <c r="L222" i="5"/>
  <c r="O222" i="5" s="1"/>
  <c r="O189" i="5"/>
  <c r="N74" i="5"/>
  <c r="N72" i="5" s="1"/>
  <c r="O271" i="4"/>
  <c r="P359" i="5"/>
  <c r="K344" i="5"/>
  <c r="P328" i="5"/>
  <c r="K292" i="5"/>
  <c r="O287" i="5"/>
  <c r="K252" i="5"/>
  <c r="K229" i="5"/>
  <c r="P189" i="5"/>
  <c r="K183" i="5"/>
  <c r="P162" i="5"/>
  <c r="M159" i="5"/>
  <c r="P159" i="5" s="1"/>
  <c r="K152" i="5"/>
  <c r="P147" i="5"/>
  <c r="J351" i="3"/>
  <c r="N358" i="5"/>
  <c r="N356" i="5" s="1"/>
  <c r="O361" i="5"/>
  <c r="N335" i="5"/>
  <c r="N333" i="5" s="1"/>
  <c r="O328" i="5"/>
  <c r="O325" i="5"/>
  <c r="L305" i="5"/>
  <c r="O305" i="5" s="1"/>
  <c r="L268" i="5"/>
  <c r="L266" i="5" s="1"/>
  <c r="O266" i="5" s="1"/>
  <c r="L254" i="5"/>
  <c r="O254" i="5" s="1"/>
  <c r="L243" i="5"/>
  <c r="L188" i="5"/>
  <c r="L186" i="5" s="1"/>
  <c r="N159" i="5"/>
  <c r="N157" i="5" s="1"/>
  <c r="P144" i="5"/>
  <c r="N61" i="5"/>
  <c r="N59" i="5" s="1"/>
  <c r="O62" i="5"/>
  <c r="P49" i="5"/>
  <c r="N47" i="5"/>
  <c r="O47" i="5" s="1"/>
  <c r="N74" i="4"/>
  <c r="N72" i="4" s="1"/>
  <c r="P52" i="4"/>
  <c r="M383" i="5"/>
  <c r="P383" i="5" s="1"/>
  <c r="M380" i="5"/>
  <c r="P380" i="5" s="1"/>
  <c r="M335" i="5"/>
  <c r="P335" i="5" s="1"/>
  <c r="N322" i="5"/>
  <c r="N320" i="5" s="1"/>
  <c r="L322" i="5"/>
  <c r="O322" i="5" s="1"/>
  <c r="M284" i="5"/>
  <c r="M282" i="5" s="1"/>
  <c r="P282" i="5" s="1"/>
  <c r="L234" i="5"/>
  <c r="I213" i="5"/>
  <c r="K213" i="5" s="1"/>
  <c r="K202" i="5"/>
  <c r="O194" i="5"/>
  <c r="N175" i="5"/>
  <c r="N173" i="5" s="1"/>
  <c r="M96" i="5"/>
  <c r="P96" i="5" s="1"/>
  <c r="O99" i="5"/>
  <c r="L19" i="5"/>
  <c r="J351" i="5"/>
  <c r="O338" i="5"/>
  <c r="M322" i="5"/>
  <c r="P322" i="5" s="1"/>
  <c r="N188" i="5"/>
  <c r="N186" i="5" s="1"/>
  <c r="M141" i="5"/>
  <c r="M139" i="5" s="1"/>
  <c r="P130" i="5"/>
  <c r="M128" i="5"/>
  <c r="P128" i="5" s="1"/>
  <c r="L97" i="5"/>
  <c r="O97" i="5" s="1"/>
  <c r="L61" i="5"/>
  <c r="L59" i="5" s="1"/>
  <c r="M19" i="5"/>
  <c r="I231" i="5"/>
  <c r="K242" i="5"/>
  <c r="M333" i="5"/>
  <c r="P333" i="5" s="1"/>
  <c r="N96" i="5"/>
  <c r="N94" i="5" s="1"/>
  <c r="L383" i="5"/>
  <c r="O383" i="5" s="1"/>
  <c r="M336" i="5"/>
  <c r="P336" i="5" s="1"/>
  <c r="L269" i="5"/>
  <c r="O269" i="5" s="1"/>
  <c r="K138" i="5"/>
  <c r="P64" i="5"/>
  <c r="M62" i="5"/>
  <c r="P62" i="5" s="1"/>
  <c r="O19" i="5"/>
  <c r="K346" i="4"/>
  <c r="O308" i="4"/>
  <c r="L192" i="4"/>
  <c r="O192" i="4" s="1"/>
  <c r="M188" i="4"/>
  <c r="M186" i="4" s="1"/>
  <c r="P382" i="5"/>
  <c r="I365" i="5"/>
  <c r="K365" i="5" s="1"/>
  <c r="L362" i="5"/>
  <c r="O362" i="5" s="1"/>
  <c r="L359" i="5"/>
  <c r="O359" i="5" s="1"/>
  <c r="J343" i="5"/>
  <c r="L339" i="5"/>
  <c r="O339" i="5" s="1"/>
  <c r="L336" i="5"/>
  <c r="O336" i="5" s="1"/>
  <c r="I332" i="5"/>
  <c r="M305" i="5"/>
  <c r="P305" i="5" s="1"/>
  <c r="L272" i="5"/>
  <c r="O272" i="5" s="1"/>
  <c r="I238" i="5"/>
  <c r="K238" i="5" s="1"/>
  <c r="P181" i="5"/>
  <c r="P165" i="5"/>
  <c r="L145" i="5"/>
  <c r="O145" i="5" s="1"/>
  <c r="L141" i="5"/>
  <c r="N127" i="5"/>
  <c r="N125" i="5" s="1"/>
  <c r="K109" i="5"/>
  <c r="M26" i="5"/>
  <c r="P26" i="5" s="1"/>
  <c r="L379" i="5"/>
  <c r="L380" i="5"/>
  <c r="O380" i="5" s="1"/>
  <c r="L358" i="5"/>
  <c r="M339" i="5"/>
  <c r="P339" i="5" s="1"/>
  <c r="M272" i="5"/>
  <c r="P272" i="5" s="1"/>
  <c r="N192" i="5"/>
  <c r="M61" i="5"/>
  <c r="K260" i="4"/>
  <c r="P364" i="5"/>
  <c r="P361" i="5"/>
  <c r="O357" i="5"/>
  <c r="P338" i="5"/>
  <c r="O334" i="5"/>
  <c r="O271" i="5"/>
  <c r="I195" i="5"/>
  <c r="K195" i="5" s="1"/>
  <c r="P191" i="5"/>
  <c r="O178" i="5"/>
  <c r="L176" i="5"/>
  <c r="O174" i="5"/>
  <c r="L160" i="5"/>
  <c r="O160" i="5" s="1"/>
  <c r="O158" i="5"/>
  <c r="P140" i="5"/>
  <c r="L127" i="5"/>
  <c r="I83" i="5"/>
  <c r="K85" i="5"/>
  <c r="L26" i="5"/>
  <c r="P19" i="5"/>
  <c r="L335" i="5"/>
  <c r="N176" i="5"/>
  <c r="P176" i="5" s="1"/>
  <c r="N160" i="5"/>
  <c r="N141" i="5"/>
  <c r="M100" i="5"/>
  <c r="P100" i="5" s="1"/>
  <c r="P102" i="5"/>
  <c r="M74" i="5"/>
  <c r="P74" i="5" s="1"/>
  <c r="N26" i="5"/>
  <c r="N24" i="5" s="1"/>
  <c r="L243" i="4"/>
  <c r="O243" i="4" s="1"/>
  <c r="N379" i="5"/>
  <c r="N377" i="5" s="1"/>
  <c r="P325" i="5"/>
  <c r="M306" i="5"/>
  <c r="P306" i="5" s="1"/>
  <c r="P304" i="5"/>
  <c r="M268" i="5"/>
  <c r="L233" i="5"/>
  <c r="P194" i="5"/>
  <c r="P142" i="5"/>
  <c r="P126" i="5"/>
  <c r="P80" i="5"/>
  <c r="M358" i="5"/>
  <c r="M323" i="5"/>
  <c r="P323" i="5" s="1"/>
  <c r="P99" i="3"/>
  <c r="O144" i="4"/>
  <c r="M309" i="5"/>
  <c r="P309" i="5" s="1"/>
  <c r="N284" i="5"/>
  <c r="N282" i="5" s="1"/>
  <c r="K249" i="5"/>
  <c r="M188" i="5"/>
  <c r="L179" i="5"/>
  <c r="O179" i="5" s="1"/>
  <c r="L163" i="5"/>
  <c r="O163" i="5" s="1"/>
  <c r="L142" i="5"/>
  <c r="O142" i="5" s="1"/>
  <c r="M97" i="5"/>
  <c r="P97" i="5" s="1"/>
  <c r="P99" i="5"/>
  <c r="I92" i="5"/>
  <c r="K92" i="5" s="1"/>
  <c r="I82" i="5"/>
  <c r="P77" i="5"/>
  <c r="P67" i="5"/>
  <c r="M65" i="5"/>
  <c r="P65" i="5" s="1"/>
  <c r="O60" i="5"/>
  <c r="N19" i="5"/>
  <c r="O80" i="5"/>
  <c r="O77" i="5"/>
  <c r="O52" i="5"/>
  <c r="O49" i="5"/>
  <c r="P25" i="5"/>
  <c r="N23" i="5"/>
  <c r="N21" i="5" s="1"/>
  <c r="M23" i="5"/>
  <c r="M46" i="5"/>
  <c r="L23" i="5"/>
  <c r="L74" i="5"/>
  <c r="O74" i="5" s="1"/>
  <c r="M50" i="5"/>
  <c r="P50" i="5" s="1"/>
  <c r="L46" i="5"/>
  <c r="O22" i="5"/>
  <c r="P176" i="4"/>
  <c r="L74" i="4"/>
  <c r="O74" i="4" s="1"/>
  <c r="K365" i="4"/>
  <c r="K368" i="4"/>
  <c r="N322" i="4"/>
  <c r="N320" i="4" s="1"/>
  <c r="K220" i="4"/>
  <c r="O311" i="4"/>
  <c r="P133" i="4"/>
  <c r="O382" i="4"/>
  <c r="L188" i="4"/>
  <c r="L186" i="4" s="1"/>
  <c r="O102" i="4"/>
  <c r="K344" i="3"/>
  <c r="J351" i="4"/>
  <c r="L335" i="4"/>
  <c r="L333" i="4" s="1"/>
  <c r="N358" i="4"/>
  <c r="N356" i="4" s="1"/>
  <c r="N323" i="4"/>
  <c r="L268" i="4"/>
  <c r="O268" i="4" s="1"/>
  <c r="I156" i="4"/>
  <c r="K156" i="4" s="1"/>
  <c r="M127" i="4"/>
  <c r="P127" i="4" s="1"/>
  <c r="M46" i="4"/>
  <c r="M44" i="4" s="1"/>
  <c r="I242" i="4"/>
  <c r="K242" i="4" s="1"/>
  <c r="I238" i="4"/>
  <c r="K238" i="4" s="1"/>
  <c r="O99" i="4"/>
  <c r="L358" i="4"/>
  <c r="L356" i="4" s="1"/>
  <c r="P341" i="4"/>
  <c r="L339" i="4"/>
  <c r="O339" i="4" s="1"/>
  <c r="O274" i="4"/>
  <c r="P147" i="4"/>
  <c r="N96" i="4"/>
  <c r="N94" i="4" s="1"/>
  <c r="I83" i="4"/>
  <c r="I71" i="4" s="1"/>
  <c r="K71" i="4" s="1"/>
  <c r="J343" i="4"/>
  <c r="L233" i="4"/>
  <c r="M96" i="4"/>
  <c r="P96" i="4" s="1"/>
  <c r="L61" i="4"/>
  <c r="L59" i="4" s="1"/>
  <c r="O341" i="3"/>
  <c r="P385" i="4"/>
  <c r="N379" i="4"/>
  <c r="N377" i="4" s="1"/>
  <c r="N380" i="4"/>
  <c r="K369" i="4"/>
  <c r="P364" i="4"/>
  <c r="P338" i="4"/>
  <c r="I319" i="4"/>
  <c r="K319" i="4" s="1"/>
  <c r="P311" i="4"/>
  <c r="P271" i="4"/>
  <c r="L203" i="4"/>
  <c r="O203" i="4" s="1"/>
  <c r="P194" i="4"/>
  <c r="N159" i="4"/>
  <c r="N157" i="4" s="1"/>
  <c r="K137" i="4"/>
  <c r="L96" i="4"/>
  <c r="O96" i="4" s="1"/>
  <c r="O67" i="4"/>
  <c r="O385" i="4"/>
  <c r="M379" i="4"/>
  <c r="M377" i="4" s="1"/>
  <c r="P377" i="4" s="1"/>
  <c r="M380" i="4"/>
  <c r="P380" i="4" s="1"/>
  <c r="L362" i="4"/>
  <c r="O362" i="4" s="1"/>
  <c r="J332" i="4"/>
  <c r="K332" i="4" s="1"/>
  <c r="N335" i="4"/>
  <c r="N333" i="4" s="1"/>
  <c r="L336" i="4"/>
  <c r="O336" i="4" s="1"/>
  <c r="I302" i="4"/>
  <c r="K302" i="4" s="1"/>
  <c r="M288" i="4"/>
  <c r="P288" i="4" s="1"/>
  <c r="I136" i="4"/>
  <c r="K136" i="4" s="1"/>
  <c r="I93" i="4"/>
  <c r="K93" i="4" s="1"/>
  <c r="P77" i="4"/>
  <c r="P361" i="4"/>
  <c r="N359" i="4"/>
  <c r="P359" i="4" s="1"/>
  <c r="P336" i="4"/>
  <c r="L305" i="4"/>
  <c r="O305" i="4" s="1"/>
  <c r="M305" i="4"/>
  <c r="P305" i="4" s="1"/>
  <c r="N284" i="4"/>
  <c r="N282" i="4" s="1"/>
  <c r="P274" i="4"/>
  <c r="L214" i="4"/>
  <c r="O214" i="4" s="1"/>
  <c r="P144" i="4"/>
  <c r="O64" i="4"/>
  <c r="L359" i="4"/>
  <c r="L254" i="4"/>
  <c r="O254" i="4" s="1"/>
  <c r="N175" i="4"/>
  <c r="N173" i="4" s="1"/>
  <c r="L142" i="4"/>
  <c r="O142" i="4" s="1"/>
  <c r="P130" i="4"/>
  <c r="M128" i="4"/>
  <c r="P128" i="4" s="1"/>
  <c r="N61" i="4"/>
  <c r="L62" i="4"/>
  <c r="O62" i="4" s="1"/>
  <c r="P49" i="4"/>
  <c r="M47" i="4"/>
  <c r="P47" i="4" s="1"/>
  <c r="L19" i="4"/>
  <c r="O19" i="4" s="1"/>
  <c r="M268" i="4"/>
  <c r="M266" i="4" s="1"/>
  <c r="P266" i="4" s="1"/>
  <c r="P308" i="4"/>
  <c r="N268" i="4"/>
  <c r="N266" i="4" s="1"/>
  <c r="L235" i="4"/>
  <c r="L236" i="4"/>
  <c r="O191" i="4"/>
  <c r="L189" i="4"/>
  <c r="K172" i="4"/>
  <c r="K153" i="4"/>
  <c r="M141" i="4"/>
  <c r="N141" i="4"/>
  <c r="N139" i="4" s="1"/>
  <c r="I82" i="4"/>
  <c r="M19" i="4"/>
  <c r="O325" i="4"/>
  <c r="L323" i="4"/>
  <c r="O323" i="4" s="1"/>
  <c r="O95" i="4"/>
  <c r="P52" i="3"/>
  <c r="M50" i="3"/>
  <c r="P50" i="3" s="1"/>
  <c r="P191" i="4"/>
  <c r="N189" i="4"/>
  <c r="O187" i="4"/>
  <c r="O130" i="4"/>
  <c r="L128" i="4"/>
  <c r="O128" i="4" s="1"/>
  <c r="L127" i="4"/>
  <c r="N141" i="3"/>
  <c r="N139" i="3" s="1"/>
  <c r="L141" i="4"/>
  <c r="O147" i="4"/>
  <c r="P126" i="4"/>
  <c r="M78" i="4"/>
  <c r="P78" i="4" s="1"/>
  <c r="P64" i="4"/>
  <c r="M62" i="4"/>
  <c r="P62" i="4" s="1"/>
  <c r="M61" i="4"/>
  <c r="L322" i="4"/>
  <c r="O322" i="4" s="1"/>
  <c r="I221" i="4"/>
  <c r="K221" i="4" s="1"/>
  <c r="K229" i="4"/>
  <c r="L163" i="3"/>
  <c r="O163" i="3" s="1"/>
  <c r="O165" i="3"/>
  <c r="M326" i="4"/>
  <c r="P326" i="4" s="1"/>
  <c r="O304" i="4"/>
  <c r="O290" i="4"/>
  <c r="L284" i="4"/>
  <c r="N188" i="4"/>
  <c r="M74" i="4"/>
  <c r="P74" i="4" s="1"/>
  <c r="L50" i="4"/>
  <c r="O50" i="4" s="1"/>
  <c r="O52" i="4"/>
  <c r="L26" i="4"/>
  <c r="O267" i="4"/>
  <c r="M179" i="4"/>
  <c r="P179" i="4" s="1"/>
  <c r="M163" i="4"/>
  <c r="P163" i="4" s="1"/>
  <c r="M100" i="4"/>
  <c r="P100" i="4" s="1"/>
  <c r="P102" i="4"/>
  <c r="P19" i="4"/>
  <c r="I185" i="1"/>
  <c r="K185" i="1" s="1"/>
  <c r="K369" i="3"/>
  <c r="O328" i="4"/>
  <c r="L326" i="4"/>
  <c r="O326" i="4" s="1"/>
  <c r="M322" i="4"/>
  <c r="P325" i="4"/>
  <c r="N305" i="4"/>
  <c r="N303" i="4" s="1"/>
  <c r="K293" i="4"/>
  <c r="I280" i="4"/>
  <c r="K280" i="4" s="1"/>
  <c r="P283" i="4"/>
  <c r="O60" i="4"/>
  <c r="L179" i="4"/>
  <c r="O179" i="4" s="1"/>
  <c r="L233" i="3"/>
  <c r="N188" i="3"/>
  <c r="N186" i="3" s="1"/>
  <c r="L141" i="3"/>
  <c r="L139" i="3" s="1"/>
  <c r="O361" i="4"/>
  <c r="O338" i="4"/>
  <c r="K292" i="4"/>
  <c r="P287" i="4"/>
  <c r="M284" i="4"/>
  <c r="P284" i="4" s="1"/>
  <c r="K183" i="4"/>
  <c r="P178" i="4"/>
  <c r="M175" i="4"/>
  <c r="P162" i="4"/>
  <c r="M159" i="4"/>
  <c r="P159" i="4" s="1"/>
  <c r="K152" i="4"/>
  <c r="L131" i="4"/>
  <c r="O131" i="4" s="1"/>
  <c r="I92" i="4"/>
  <c r="K92" i="4" s="1"/>
  <c r="O73" i="4"/>
  <c r="N127" i="4"/>
  <c r="N125" i="4" s="1"/>
  <c r="N19" i="4"/>
  <c r="K371" i="4"/>
  <c r="K344" i="4"/>
  <c r="K209" i="4"/>
  <c r="L175" i="4"/>
  <c r="L159" i="4"/>
  <c r="P142" i="4"/>
  <c r="P67" i="4"/>
  <c r="M65" i="4"/>
  <c r="P65" i="4" s="1"/>
  <c r="N26" i="4"/>
  <c r="N24" i="4" s="1"/>
  <c r="L78" i="4"/>
  <c r="O78" i="4" s="1"/>
  <c r="O80" i="4"/>
  <c r="L47" i="4"/>
  <c r="O47" i="4" s="1"/>
  <c r="L23" i="4"/>
  <c r="O49" i="4"/>
  <c r="L379" i="4"/>
  <c r="O379" i="4" s="1"/>
  <c r="M358" i="4"/>
  <c r="M335" i="4"/>
  <c r="P174" i="4"/>
  <c r="P158" i="4"/>
  <c r="M97" i="4"/>
  <c r="P97" i="4" s="1"/>
  <c r="P99" i="4"/>
  <c r="L75" i="4"/>
  <c r="O75" i="4" s="1"/>
  <c r="O77" i="4"/>
  <c r="P73" i="4"/>
  <c r="L163" i="4"/>
  <c r="O163" i="4" s="1"/>
  <c r="P25" i="4"/>
  <c r="L285" i="4"/>
  <c r="O285" i="4" s="1"/>
  <c r="L222" i="4"/>
  <c r="O222" i="4" s="1"/>
  <c r="I195" i="4"/>
  <c r="K195" i="4" s="1"/>
  <c r="O178" i="4"/>
  <c r="L176" i="4"/>
  <c r="O176" i="4" s="1"/>
  <c r="L160" i="4"/>
  <c r="O160" i="4" s="1"/>
  <c r="N78" i="4"/>
  <c r="M26" i="4"/>
  <c r="P26" i="4" s="1"/>
  <c r="N23" i="4"/>
  <c r="N46" i="4"/>
  <c r="N44" i="4" s="1"/>
  <c r="M23" i="4"/>
  <c r="O22" i="4"/>
  <c r="M163" i="3"/>
  <c r="P163" i="3" s="1"/>
  <c r="K153" i="3"/>
  <c r="O385" i="3"/>
  <c r="J343" i="3"/>
  <c r="K153" i="1"/>
  <c r="M159" i="3"/>
  <c r="P159" i="3" s="1"/>
  <c r="K138" i="3"/>
  <c r="L96" i="3"/>
  <c r="O96" i="3" s="1"/>
  <c r="L222" i="3"/>
  <c r="O222" i="3" s="1"/>
  <c r="M306" i="3"/>
  <c r="P306" i="3" s="1"/>
  <c r="O271" i="3"/>
  <c r="O178" i="3"/>
  <c r="O102" i="3"/>
  <c r="I93" i="3"/>
  <c r="K93" i="3" s="1"/>
  <c r="P144" i="1"/>
  <c r="K371" i="3"/>
  <c r="O361" i="3"/>
  <c r="M335" i="3"/>
  <c r="M333" i="3" s="1"/>
  <c r="L322" i="3"/>
  <c r="L320" i="3" s="1"/>
  <c r="P191" i="3"/>
  <c r="O338" i="3"/>
  <c r="O191" i="3"/>
  <c r="M46" i="3"/>
  <c r="M44" i="3" s="1"/>
  <c r="K346" i="2"/>
  <c r="O165" i="2"/>
  <c r="L380" i="3"/>
  <c r="O380" i="3" s="1"/>
  <c r="O328" i="3"/>
  <c r="O311" i="3"/>
  <c r="M288" i="3"/>
  <c r="P288" i="3" s="1"/>
  <c r="N268" i="3"/>
  <c r="N266" i="3" s="1"/>
  <c r="I238" i="3"/>
  <c r="K238" i="3" s="1"/>
  <c r="P80" i="3"/>
  <c r="O47" i="3"/>
  <c r="P325" i="3"/>
  <c r="P287" i="3"/>
  <c r="L214" i="3"/>
  <c r="O214" i="3" s="1"/>
  <c r="O80" i="3"/>
  <c r="K90" i="1"/>
  <c r="P341" i="3"/>
  <c r="K293" i="3"/>
  <c r="L188" i="3"/>
  <c r="K183" i="3"/>
  <c r="M74" i="3"/>
  <c r="P74" i="3" s="1"/>
  <c r="O52" i="3"/>
  <c r="N61" i="3"/>
  <c r="N59" i="3" s="1"/>
  <c r="P364" i="3"/>
  <c r="M358" i="3"/>
  <c r="M356" i="3" s="1"/>
  <c r="K346" i="3"/>
  <c r="I332" i="3"/>
  <c r="O325" i="3"/>
  <c r="N305" i="3"/>
  <c r="N303" i="3" s="1"/>
  <c r="P181" i="3"/>
  <c r="M175" i="3"/>
  <c r="P175" i="3" s="1"/>
  <c r="M176" i="3"/>
  <c r="P176" i="3" s="1"/>
  <c r="I137" i="3"/>
  <c r="K137" i="3" s="1"/>
  <c r="O99" i="3"/>
  <c r="I82" i="3"/>
  <c r="K82" i="3" s="1"/>
  <c r="L26" i="3"/>
  <c r="O26" i="3" s="1"/>
  <c r="P49" i="3"/>
  <c r="N141" i="2"/>
  <c r="N139" i="2" s="1"/>
  <c r="K365" i="3"/>
  <c r="O364" i="3"/>
  <c r="O359" i="3"/>
  <c r="P338" i="3"/>
  <c r="N322" i="3"/>
  <c r="N320" i="3" s="1"/>
  <c r="N323" i="3"/>
  <c r="P323" i="3" s="1"/>
  <c r="I302" i="3"/>
  <c r="K302" i="3" s="1"/>
  <c r="K292" i="3"/>
  <c r="M284" i="3"/>
  <c r="P284" i="3" s="1"/>
  <c r="L236" i="3"/>
  <c r="L235" i="3"/>
  <c r="I242" i="3"/>
  <c r="K242" i="3" s="1"/>
  <c r="L203" i="3"/>
  <c r="O203" i="3" s="1"/>
  <c r="M192" i="3"/>
  <c r="P192" i="3" s="1"/>
  <c r="O181" i="3"/>
  <c r="I169" i="3"/>
  <c r="K169" i="3" s="1"/>
  <c r="P162" i="3"/>
  <c r="N96" i="3"/>
  <c r="N94" i="3" s="1"/>
  <c r="L97" i="3"/>
  <c r="O97" i="3" s="1"/>
  <c r="P77" i="3"/>
  <c r="O49" i="3"/>
  <c r="K368" i="3"/>
  <c r="M336" i="3"/>
  <c r="P336" i="3" s="1"/>
  <c r="P328" i="3"/>
  <c r="L323" i="3"/>
  <c r="L305" i="3"/>
  <c r="O305" i="3" s="1"/>
  <c r="M272" i="3"/>
  <c r="P272" i="3" s="1"/>
  <c r="L254" i="3"/>
  <c r="O254" i="3" s="1"/>
  <c r="L234" i="3"/>
  <c r="I213" i="3"/>
  <c r="K213" i="3" s="1"/>
  <c r="L192" i="3"/>
  <c r="O192" i="3" s="1"/>
  <c r="N189" i="3"/>
  <c r="K167" i="3"/>
  <c r="O162" i="3"/>
  <c r="N127" i="3"/>
  <c r="N125" i="3" s="1"/>
  <c r="P102" i="3"/>
  <c r="I83" i="3"/>
  <c r="O77" i="3"/>
  <c r="M47" i="3"/>
  <c r="P47" i="3" s="1"/>
  <c r="L19" i="3"/>
  <c r="O19" i="3" s="1"/>
  <c r="P359" i="3"/>
  <c r="L379" i="3"/>
  <c r="L377" i="3" s="1"/>
  <c r="O377" i="3" s="1"/>
  <c r="P361" i="3"/>
  <c r="M322" i="3"/>
  <c r="N269" i="3"/>
  <c r="K221" i="3"/>
  <c r="L189" i="3"/>
  <c r="O160" i="3"/>
  <c r="M160" i="3"/>
  <c r="P160" i="3" s="1"/>
  <c r="K154" i="3"/>
  <c r="M75" i="3"/>
  <c r="P75" i="3" s="1"/>
  <c r="N62" i="3"/>
  <c r="P62" i="3" s="1"/>
  <c r="O64" i="3"/>
  <c r="L62" i="3"/>
  <c r="N379" i="3"/>
  <c r="N377" i="3" s="1"/>
  <c r="L306" i="3"/>
  <c r="O306" i="3" s="1"/>
  <c r="L272" i="3"/>
  <c r="O272" i="3" s="1"/>
  <c r="M268" i="3"/>
  <c r="M145" i="3"/>
  <c r="P145" i="3" s="1"/>
  <c r="P133" i="3"/>
  <c r="M131" i="3"/>
  <c r="P131" i="3" s="1"/>
  <c r="N128" i="3"/>
  <c r="N23" i="3"/>
  <c r="O267" i="3"/>
  <c r="M379" i="3"/>
  <c r="N358" i="3"/>
  <c r="N356" i="3" s="1"/>
  <c r="N335" i="3"/>
  <c r="N333" i="3" s="1"/>
  <c r="M309" i="3"/>
  <c r="P309" i="3" s="1"/>
  <c r="O304" i="3"/>
  <c r="N284" i="3"/>
  <c r="N282" i="3" s="1"/>
  <c r="L268" i="3"/>
  <c r="O268" i="3" s="1"/>
  <c r="L243" i="3"/>
  <c r="O147" i="3"/>
  <c r="L145" i="3"/>
  <c r="O145" i="3" s="1"/>
  <c r="N142" i="3"/>
  <c r="P140" i="3"/>
  <c r="P130" i="3"/>
  <c r="M128" i="3"/>
  <c r="P128" i="3" s="1"/>
  <c r="N26" i="3"/>
  <c r="N24" i="3" s="1"/>
  <c r="N19" i="3"/>
  <c r="I202" i="3"/>
  <c r="K202" i="3" s="1"/>
  <c r="K209" i="3"/>
  <c r="I195" i="3"/>
  <c r="K195" i="3" s="1"/>
  <c r="L379" i="2"/>
  <c r="L377" i="2" s="1"/>
  <c r="M383" i="3"/>
  <c r="P383" i="3" s="1"/>
  <c r="M380" i="3"/>
  <c r="P380" i="3" s="1"/>
  <c r="J332" i="3"/>
  <c r="M305" i="3"/>
  <c r="O287" i="3"/>
  <c r="L284" i="3"/>
  <c r="I253" i="3"/>
  <c r="K253" i="3" s="1"/>
  <c r="K260" i="3"/>
  <c r="M189" i="3"/>
  <c r="P144" i="3"/>
  <c r="M142" i="3"/>
  <c r="M127" i="3"/>
  <c r="P127" i="3" s="1"/>
  <c r="M65" i="3"/>
  <c r="P65" i="3" s="1"/>
  <c r="M26" i="3"/>
  <c r="P26" i="3" s="1"/>
  <c r="M19" i="3"/>
  <c r="P22" i="3"/>
  <c r="O144" i="2"/>
  <c r="L358" i="3"/>
  <c r="L335" i="3"/>
  <c r="L333" i="3" s="1"/>
  <c r="O308" i="3"/>
  <c r="M269" i="3"/>
  <c r="P269" i="3" s="1"/>
  <c r="O187" i="3"/>
  <c r="O144" i="3"/>
  <c r="L142" i="3"/>
  <c r="O60" i="3"/>
  <c r="L61" i="3"/>
  <c r="L336" i="3"/>
  <c r="O336" i="3" s="1"/>
  <c r="I319" i="3"/>
  <c r="K319" i="3" s="1"/>
  <c r="O290" i="3"/>
  <c r="M188" i="3"/>
  <c r="N175" i="3"/>
  <c r="N173" i="3" s="1"/>
  <c r="N159" i="3"/>
  <c r="N157" i="3" s="1"/>
  <c r="M141" i="3"/>
  <c r="P126" i="3"/>
  <c r="K108" i="3"/>
  <c r="I92" i="3"/>
  <c r="K92" i="3" s="1"/>
  <c r="O67" i="3"/>
  <c r="L65" i="3"/>
  <c r="O65" i="3" s="1"/>
  <c r="P64" i="3"/>
  <c r="M23" i="3"/>
  <c r="M61" i="3"/>
  <c r="L127" i="3"/>
  <c r="O127" i="3" s="1"/>
  <c r="N74" i="3"/>
  <c r="N72" i="3" s="1"/>
  <c r="N46" i="3"/>
  <c r="N44" i="3" s="1"/>
  <c r="K229" i="3"/>
  <c r="I168" i="3"/>
  <c r="K168" i="3" s="1"/>
  <c r="L131" i="3"/>
  <c r="O131" i="3" s="1"/>
  <c r="L128" i="3"/>
  <c r="O128" i="3" s="1"/>
  <c r="N50" i="3"/>
  <c r="L23" i="3"/>
  <c r="L175" i="3"/>
  <c r="L159" i="3"/>
  <c r="M96" i="3"/>
  <c r="L74" i="3"/>
  <c r="L46" i="3"/>
  <c r="O22" i="3"/>
  <c r="L309" i="1"/>
  <c r="O309" i="1" s="1"/>
  <c r="L236" i="2"/>
  <c r="P162" i="2"/>
  <c r="O130" i="2"/>
  <c r="P385" i="2"/>
  <c r="O338" i="2"/>
  <c r="P325" i="2"/>
  <c r="L222" i="2"/>
  <c r="O222" i="2" s="1"/>
  <c r="P52" i="2"/>
  <c r="O49" i="2"/>
  <c r="N53" i="1"/>
  <c r="N65" i="1"/>
  <c r="P290" i="2"/>
  <c r="L288" i="2"/>
  <c r="O288" i="2" s="1"/>
  <c r="K108" i="2"/>
  <c r="M362" i="2"/>
  <c r="P362" i="2" s="1"/>
  <c r="L268" i="2"/>
  <c r="O268" i="2" s="1"/>
  <c r="L233" i="2"/>
  <c r="P99" i="2"/>
  <c r="P191" i="1"/>
  <c r="J199" i="1"/>
  <c r="P286" i="1"/>
  <c r="M283" i="1"/>
  <c r="P283" i="1" s="1"/>
  <c r="I280" i="2"/>
  <c r="K280" i="2" s="1"/>
  <c r="K293" i="2"/>
  <c r="M380" i="2"/>
  <c r="P380" i="2" s="1"/>
  <c r="P382" i="2"/>
  <c r="L179" i="2"/>
  <c r="O179" i="2" s="1"/>
  <c r="O181" i="2"/>
  <c r="O341" i="2"/>
  <c r="L339" i="2"/>
  <c r="O339" i="2" s="1"/>
  <c r="M78" i="2"/>
  <c r="P78" i="2" s="1"/>
  <c r="P80" i="2"/>
  <c r="L305" i="2"/>
  <c r="O305" i="2" s="1"/>
  <c r="L175" i="2"/>
  <c r="L173" i="2" s="1"/>
  <c r="M73" i="1"/>
  <c r="P73" i="1" s="1"/>
  <c r="K368" i="2"/>
  <c r="M358" i="2"/>
  <c r="M356" i="2" s="1"/>
  <c r="J343" i="2"/>
  <c r="N159" i="2"/>
  <c r="M141" i="2"/>
  <c r="P141" i="2" s="1"/>
  <c r="K109" i="2"/>
  <c r="O325" i="2"/>
  <c r="M127" i="2"/>
  <c r="P127" i="2" s="1"/>
  <c r="N50" i="1"/>
  <c r="N160" i="1"/>
  <c r="O287" i="2"/>
  <c r="L159" i="2"/>
  <c r="O159" i="2" s="1"/>
  <c r="O77" i="2"/>
  <c r="O47" i="2"/>
  <c r="M65" i="1"/>
  <c r="P65" i="1" s="1"/>
  <c r="K88" i="1"/>
  <c r="N100" i="1"/>
  <c r="N379" i="2"/>
  <c r="N377" i="2" s="1"/>
  <c r="L234" i="2"/>
  <c r="N175" i="2"/>
  <c r="N173" i="2" s="1"/>
  <c r="L100" i="2"/>
  <c r="O100" i="2" s="1"/>
  <c r="I82" i="2"/>
  <c r="K82" i="2" s="1"/>
  <c r="P64" i="2"/>
  <c r="L73" i="1"/>
  <c r="O73" i="1" s="1"/>
  <c r="P161" i="1"/>
  <c r="N163" i="1"/>
  <c r="K198" i="1"/>
  <c r="N362" i="1"/>
  <c r="M379" i="2"/>
  <c r="M377" i="2" s="1"/>
  <c r="P377" i="2" s="1"/>
  <c r="L380" i="2"/>
  <c r="O380" i="2" s="1"/>
  <c r="K371" i="2"/>
  <c r="L362" i="2"/>
  <c r="O362" i="2" s="1"/>
  <c r="P287" i="2"/>
  <c r="I202" i="2"/>
  <c r="K202" i="2" s="1"/>
  <c r="N188" i="2"/>
  <c r="N186" i="2" s="1"/>
  <c r="P181" i="2"/>
  <c r="L176" i="2"/>
  <c r="O147" i="2"/>
  <c r="L141" i="2"/>
  <c r="L131" i="2"/>
  <c r="O131" i="2" s="1"/>
  <c r="N74" i="2"/>
  <c r="N72" i="2" s="1"/>
  <c r="N75" i="2"/>
  <c r="N46" i="2"/>
  <c r="N44" i="2" s="1"/>
  <c r="M379" i="1"/>
  <c r="P379" i="1" s="1"/>
  <c r="L29" i="1"/>
  <c r="O29" i="1" s="1"/>
  <c r="N78" i="1"/>
  <c r="J82" i="1"/>
  <c r="J70" i="1" s="1"/>
  <c r="M128" i="1"/>
  <c r="P128" i="1" s="1"/>
  <c r="O162" i="1"/>
  <c r="N358" i="2"/>
  <c r="N356" i="2" s="1"/>
  <c r="M359" i="2"/>
  <c r="P359" i="2" s="1"/>
  <c r="M339" i="2"/>
  <c r="P339" i="2" s="1"/>
  <c r="P328" i="2"/>
  <c r="K314" i="2"/>
  <c r="M305" i="2"/>
  <c r="P305" i="2" s="1"/>
  <c r="L235" i="2"/>
  <c r="L214" i="2"/>
  <c r="O214" i="2" s="1"/>
  <c r="N145" i="2"/>
  <c r="M96" i="2"/>
  <c r="P96" i="2" s="1"/>
  <c r="P47" i="2"/>
  <c r="N176" i="2"/>
  <c r="P176" i="2" s="1"/>
  <c r="N128" i="1"/>
  <c r="N288" i="1"/>
  <c r="O359" i="2"/>
  <c r="P323" i="2"/>
  <c r="M268" i="2"/>
  <c r="P268" i="2" s="1"/>
  <c r="K198" i="2"/>
  <c r="P191" i="2"/>
  <c r="O162" i="2"/>
  <c r="N157" i="2"/>
  <c r="N127" i="2"/>
  <c r="N125" i="2" s="1"/>
  <c r="O80" i="2"/>
  <c r="L74" i="2"/>
  <c r="O74" i="2" s="1"/>
  <c r="O52" i="2"/>
  <c r="L46" i="2"/>
  <c r="J83" i="1"/>
  <c r="J71" i="1" s="1"/>
  <c r="O383" i="2"/>
  <c r="L358" i="2"/>
  <c r="P357" i="2"/>
  <c r="J351" i="2"/>
  <c r="L243" i="2"/>
  <c r="O243" i="2" s="1"/>
  <c r="P178" i="2"/>
  <c r="N160" i="2"/>
  <c r="P102" i="2"/>
  <c r="I83" i="2"/>
  <c r="I71" i="2" s="1"/>
  <c r="K71" i="2" s="1"/>
  <c r="N60" i="1"/>
  <c r="N74" i="1"/>
  <c r="L158" i="1"/>
  <c r="O158" i="1" s="1"/>
  <c r="K209" i="1"/>
  <c r="K219" i="1"/>
  <c r="O385" i="2"/>
  <c r="N380" i="2"/>
  <c r="K369" i="2"/>
  <c r="K365" i="2"/>
  <c r="P338" i="2"/>
  <c r="M322" i="2"/>
  <c r="M320" i="2" s="1"/>
  <c r="L284" i="2"/>
  <c r="L282" i="2" s="1"/>
  <c r="O282" i="2" s="1"/>
  <c r="N268" i="2"/>
  <c r="N266" i="2" s="1"/>
  <c r="L254" i="2"/>
  <c r="O254" i="2" s="1"/>
  <c r="K229" i="2"/>
  <c r="O178" i="2"/>
  <c r="P165" i="2"/>
  <c r="L160" i="2"/>
  <c r="O160" i="2" s="1"/>
  <c r="L127" i="2"/>
  <c r="O127" i="2" s="1"/>
  <c r="P77" i="2"/>
  <c r="N61" i="2"/>
  <c r="N59" i="2" s="1"/>
  <c r="P49" i="2"/>
  <c r="N272" i="2"/>
  <c r="N23" i="2"/>
  <c r="N21" i="2" s="1"/>
  <c r="K346" i="1"/>
  <c r="O382" i="2"/>
  <c r="P361" i="2"/>
  <c r="O357" i="2"/>
  <c r="M309" i="2"/>
  <c r="P309" i="2" s="1"/>
  <c r="M272" i="2"/>
  <c r="P272" i="2" s="1"/>
  <c r="L203" i="2"/>
  <c r="O203" i="2" s="1"/>
  <c r="M188" i="2"/>
  <c r="I172" i="2"/>
  <c r="K172" i="2" s="1"/>
  <c r="I156" i="2"/>
  <c r="K156" i="2" s="1"/>
  <c r="P130" i="2"/>
  <c r="M128" i="2"/>
  <c r="P128" i="2" s="1"/>
  <c r="N128" i="2"/>
  <c r="O60" i="2"/>
  <c r="O191" i="2"/>
  <c r="L189" i="2"/>
  <c r="O189" i="2" s="1"/>
  <c r="L28" i="1"/>
  <c r="O28" i="1" s="1"/>
  <c r="P49" i="1"/>
  <c r="N97" i="1"/>
  <c r="M176" i="1"/>
  <c r="L192" i="1"/>
  <c r="O192" i="1" s="1"/>
  <c r="K213" i="1"/>
  <c r="K238" i="1"/>
  <c r="M323" i="1"/>
  <c r="O338" i="1"/>
  <c r="N383" i="1"/>
  <c r="O361" i="2"/>
  <c r="N335" i="2"/>
  <c r="N333" i="2" s="1"/>
  <c r="L326" i="2"/>
  <c r="O326" i="2" s="1"/>
  <c r="O311" i="2"/>
  <c r="L309" i="2"/>
  <c r="O309" i="2" s="1"/>
  <c r="P304" i="2"/>
  <c r="O274" i="2"/>
  <c r="L272" i="2"/>
  <c r="O272" i="2" s="1"/>
  <c r="P267" i="2"/>
  <c r="L188" i="2"/>
  <c r="K154" i="2"/>
  <c r="L97" i="2"/>
  <c r="O97" i="2" s="1"/>
  <c r="M26" i="2"/>
  <c r="P67" i="2"/>
  <c r="M62" i="2"/>
  <c r="P62" i="2" s="1"/>
  <c r="O19" i="2"/>
  <c r="N19" i="2"/>
  <c r="K151" i="1"/>
  <c r="N187" i="1"/>
  <c r="K228" i="1"/>
  <c r="L267" i="1"/>
  <c r="O267" i="1" s="1"/>
  <c r="N309" i="1"/>
  <c r="N326" i="1"/>
  <c r="L362" i="1"/>
  <c r="O362" i="1" s="1"/>
  <c r="K344" i="2"/>
  <c r="P334" i="2"/>
  <c r="M306" i="2"/>
  <c r="P306" i="2" s="1"/>
  <c r="I281" i="2"/>
  <c r="K281" i="2" s="1"/>
  <c r="M269" i="2"/>
  <c r="P269" i="2" s="1"/>
  <c r="I253" i="2"/>
  <c r="K253" i="2" s="1"/>
  <c r="I213" i="2"/>
  <c r="K213" i="2" s="1"/>
  <c r="M192" i="2"/>
  <c r="P192" i="2" s="1"/>
  <c r="P144" i="2"/>
  <c r="M142" i="2"/>
  <c r="P142" i="2" s="1"/>
  <c r="P133" i="2"/>
  <c r="M131" i="2"/>
  <c r="P131" i="2" s="1"/>
  <c r="O67" i="2"/>
  <c r="L65" i="2"/>
  <c r="O65" i="2" s="1"/>
  <c r="M61" i="2"/>
  <c r="M19" i="2"/>
  <c r="P22" i="2"/>
  <c r="O325" i="1"/>
  <c r="J332" i="2"/>
  <c r="K332" i="2" s="1"/>
  <c r="M335" i="2"/>
  <c r="M336" i="2"/>
  <c r="P336" i="2" s="1"/>
  <c r="L323" i="2"/>
  <c r="O323" i="2" s="1"/>
  <c r="I319" i="2"/>
  <c r="K319" i="2" s="1"/>
  <c r="O308" i="2"/>
  <c r="L306" i="2"/>
  <c r="O306" i="2" s="1"/>
  <c r="N305" i="2"/>
  <c r="N303" i="2" s="1"/>
  <c r="O271" i="2"/>
  <c r="L269" i="2"/>
  <c r="O269" i="2" s="1"/>
  <c r="I238" i="2"/>
  <c r="K238" i="2" s="1"/>
  <c r="O194" i="2"/>
  <c r="L192" i="2"/>
  <c r="O192" i="2" s="1"/>
  <c r="P187" i="2"/>
  <c r="I137" i="2"/>
  <c r="K137" i="2" s="1"/>
  <c r="L96" i="2"/>
  <c r="K86" i="2"/>
  <c r="O64" i="2"/>
  <c r="L23" i="2"/>
  <c r="L62" i="2"/>
  <c r="O62" i="2" s="1"/>
  <c r="L61" i="2"/>
  <c r="L26" i="2"/>
  <c r="L322" i="2"/>
  <c r="L320" i="2" s="1"/>
  <c r="M74" i="1"/>
  <c r="N96" i="1"/>
  <c r="K137" i="1"/>
  <c r="K295" i="1"/>
  <c r="K302" i="1"/>
  <c r="K317" i="1"/>
  <c r="L335" i="2"/>
  <c r="L336" i="2"/>
  <c r="O336" i="2" s="1"/>
  <c r="M189" i="2"/>
  <c r="P189" i="2" s="1"/>
  <c r="P147" i="2"/>
  <c r="M145" i="2"/>
  <c r="P145" i="2" s="1"/>
  <c r="N26" i="2"/>
  <c r="N24" i="2" s="1"/>
  <c r="N284" i="2"/>
  <c r="N282" i="2" s="1"/>
  <c r="K249" i="2"/>
  <c r="K153" i="2"/>
  <c r="K85" i="2"/>
  <c r="P60" i="2"/>
  <c r="O25" i="2"/>
  <c r="M23" i="2"/>
  <c r="N322" i="2"/>
  <c r="N320" i="2" s="1"/>
  <c r="M284" i="2"/>
  <c r="M175" i="2"/>
  <c r="M159" i="2"/>
  <c r="N96" i="2"/>
  <c r="N94" i="2" s="1"/>
  <c r="M74" i="2"/>
  <c r="M46" i="2"/>
  <c r="K150" i="1"/>
  <c r="M304" i="1"/>
  <c r="P304" i="1" s="1"/>
  <c r="L23" i="1"/>
  <c r="M26" i="1"/>
  <c r="P26" i="1" s="1"/>
  <c r="N95" i="1"/>
  <c r="N158" i="1"/>
  <c r="K167" i="1"/>
  <c r="P178" i="1"/>
  <c r="L288" i="1"/>
  <c r="O288" i="1" s="1"/>
  <c r="L339" i="1"/>
  <c r="O339" i="1" s="1"/>
  <c r="N339" i="1"/>
  <c r="O363" i="1"/>
  <c r="O385" i="1"/>
  <c r="L22" i="1"/>
  <c r="O22" i="1" s="1"/>
  <c r="N142" i="1"/>
  <c r="K154" i="1"/>
  <c r="O178" i="1"/>
  <c r="N359" i="1"/>
  <c r="N358" i="1"/>
  <c r="L53" i="1"/>
  <c r="O53" i="1" s="1"/>
  <c r="N75" i="1"/>
  <c r="L128" i="1"/>
  <c r="O128" i="1" s="1"/>
  <c r="L142" i="1"/>
  <c r="I156" i="1"/>
  <c r="K156" i="1" s="1"/>
  <c r="N192" i="1"/>
  <c r="L203" i="1"/>
  <c r="N222" i="1"/>
  <c r="N267" i="1"/>
  <c r="K280" i="1"/>
  <c r="N323" i="1"/>
  <c r="L335" i="1"/>
  <c r="J343" i="1"/>
  <c r="K369" i="1"/>
  <c r="M380" i="1"/>
  <c r="P380" i="1" s="1"/>
  <c r="M22" i="1"/>
  <c r="P22" i="1" s="1"/>
  <c r="N26" i="1"/>
  <c r="O77" i="1"/>
  <c r="M126" i="1"/>
  <c r="N159" i="1"/>
  <c r="M187" i="1"/>
  <c r="P187" i="1" s="1"/>
  <c r="K316" i="1"/>
  <c r="K319" i="1"/>
  <c r="J351" i="1"/>
  <c r="K168" i="1"/>
  <c r="I169" i="1"/>
  <c r="K169" i="1" s="1"/>
  <c r="P52" i="1"/>
  <c r="N131" i="1"/>
  <c r="K172" i="1"/>
  <c r="I195" i="1"/>
  <c r="K195" i="1" s="1"/>
  <c r="K330" i="1"/>
  <c r="P382" i="1"/>
  <c r="N285" i="1"/>
  <c r="L97" i="1"/>
  <c r="O97" i="1" s="1"/>
  <c r="O130" i="1"/>
  <c r="I138" i="1"/>
  <c r="K138" i="1" s="1"/>
  <c r="M179" i="1"/>
  <c r="P179" i="1" s="1"/>
  <c r="L269" i="1"/>
  <c r="O269" i="1" s="1"/>
  <c r="N283" i="1"/>
  <c r="M321" i="1"/>
  <c r="P321" i="1" s="1"/>
  <c r="J332" i="1"/>
  <c r="M339" i="1"/>
  <c r="P339" i="1" s="1"/>
  <c r="M383" i="1"/>
  <c r="P383" i="1" s="1"/>
  <c r="M23" i="1"/>
  <c r="P77" i="1"/>
  <c r="N127" i="1"/>
  <c r="N214" i="1"/>
  <c r="K220" i="1"/>
  <c r="K314" i="1"/>
  <c r="O76" i="1"/>
  <c r="L78" i="1"/>
  <c r="O78" i="1" s="1"/>
  <c r="N126" i="1"/>
  <c r="L160" i="1"/>
  <c r="K183" i="1"/>
  <c r="P325" i="1"/>
  <c r="L47" i="1"/>
  <c r="O49" i="1"/>
  <c r="P64" i="1"/>
  <c r="I83" i="1"/>
  <c r="I71" i="1" s="1"/>
  <c r="M127" i="1"/>
  <c r="P127" i="1" s="1"/>
  <c r="M160" i="1"/>
  <c r="P160" i="1" s="1"/>
  <c r="L174" i="1"/>
  <c r="O174" i="1" s="1"/>
  <c r="L176" i="1"/>
  <c r="N179" i="1"/>
  <c r="M189" i="1"/>
  <c r="O196" i="1"/>
  <c r="L232" i="1"/>
  <c r="M272" i="1"/>
  <c r="P272" i="1" s="1"/>
  <c r="L285" i="1"/>
  <c r="O287" i="1"/>
  <c r="O308" i="1"/>
  <c r="K315" i="1"/>
  <c r="N380" i="1"/>
  <c r="K109" i="1"/>
  <c r="M268" i="1"/>
  <c r="P268" i="1" s="1"/>
  <c r="N306" i="1"/>
  <c r="N25" i="1"/>
  <c r="M29" i="1"/>
  <c r="P29" i="1" s="1"/>
  <c r="K89" i="1"/>
  <c r="L127" i="1"/>
  <c r="O127" i="1" s="1"/>
  <c r="M53" i="1"/>
  <c r="P53" i="1" s="1"/>
  <c r="L62" i="1"/>
  <c r="N61" i="1"/>
  <c r="P66" i="1"/>
  <c r="M25" i="1"/>
  <c r="M95" i="1"/>
  <c r="P95" i="1" s="1"/>
  <c r="M100" i="1"/>
  <c r="P100" i="1" s="1"/>
  <c r="K108" i="1"/>
  <c r="P129" i="1"/>
  <c r="L131" i="1"/>
  <c r="O131" i="1" s="1"/>
  <c r="L140" i="1"/>
  <c r="O140" i="1" s="1"/>
  <c r="M174" i="1"/>
  <c r="N189" i="1"/>
  <c r="I202" i="1"/>
  <c r="K202" i="1" s="1"/>
  <c r="N203" i="1"/>
  <c r="L214" i="1"/>
  <c r="O271" i="1"/>
  <c r="N272" i="1"/>
  <c r="P287" i="1"/>
  <c r="O289" i="1"/>
  <c r="K292" i="1"/>
  <c r="K296" i="1"/>
  <c r="L306" i="1"/>
  <c r="P308" i="1"/>
  <c r="O310" i="1"/>
  <c r="P324" i="1"/>
  <c r="N336" i="1"/>
  <c r="N335" i="1"/>
  <c r="O340" i="1"/>
  <c r="K344" i="1"/>
  <c r="K281" i="1"/>
  <c r="N45" i="1"/>
  <c r="M50" i="1"/>
  <c r="P50" i="1" s="1"/>
  <c r="M75" i="1"/>
  <c r="I82" i="1"/>
  <c r="L100" i="1"/>
  <c r="O100" i="1" s="1"/>
  <c r="L126" i="1"/>
  <c r="O126" i="1" s="1"/>
  <c r="M131" i="1"/>
  <c r="P131" i="1" s="1"/>
  <c r="N145" i="1"/>
  <c r="M175" i="1"/>
  <c r="P175" i="1" s="1"/>
  <c r="L189" i="1"/>
  <c r="O191" i="1"/>
  <c r="L222" i="1"/>
  <c r="N232" i="1"/>
  <c r="L272" i="1"/>
  <c r="O272" i="1" s="1"/>
  <c r="M285" i="1"/>
  <c r="K293" i="1"/>
  <c r="M306" i="1"/>
  <c r="L323" i="1"/>
  <c r="O361" i="1"/>
  <c r="K368" i="1"/>
  <c r="K371" i="1"/>
  <c r="O181" i="1"/>
  <c r="L179" i="1"/>
  <c r="O179" i="1" s="1"/>
  <c r="O327" i="1"/>
  <c r="L326" i="1"/>
  <c r="O326" i="1" s="1"/>
  <c r="M28" i="1"/>
  <c r="N73" i="1"/>
  <c r="M78" i="1"/>
  <c r="P78" i="1" s="1"/>
  <c r="N22" i="1"/>
  <c r="L26" i="1"/>
  <c r="N28" i="1"/>
  <c r="N27" i="1" s="1"/>
  <c r="L45" i="1"/>
  <c r="M46" i="1"/>
  <c r="N47" i="1"/>
  <c r="L60" i="1"/>
  <c r="M61" i="1"/>
  <c r="N62" i="1"/>
  <c r="P79" i="1"/>
  <c r="O99" i="1"/>
  <c r="L96" i="1"/>
  <c r="O96" i="1" s="1"/>
  <c r="M141" i="1"/>
  <c r="L145" i="1"/>
  <c r="O145" i="1" s="1"/>
  <c r="O146" i="1"/>
  <c r="N305" i="1"/>
  <c r="N303" i="1" s="1"/>
  <c r="P310" i="1"/>
  <c r="M309" i="1"/>
  <c r="P309" i="1" s="1"/>
  <c r="L321" i="1"/>
  <c r="P338" i="1"/>
  <c r="M335" i="1"/>
  <c r="M336" i="1"/>
  <c r="O360" i="1"/>
  <c r="L357" i="1"/>
  <c r="L359" i="1"/>
  <c r="O382" i="1"/>
  <c r="L379" i="1"/>
  <c r="L380" i="1"/>
  <c r="O380" i="1" s="1"/>
  <c r="P143" i="1"/>
  <c r="M140" i="1"/>
  <c r="M142" i="1"/>
  <c r="N174" i="1"/>
  <c r="N173" i="1" s="1"/>
  <c r="N176" i="1"/>
  <c r="N23" i="1"/>
  <c r="L46" i="1"/>
  <c r="M47" i="1"/>
  <c r="L61" i="1"/>
  <c r="M62" i="1"/>
  <c r="O64" i="1"/>
  <c r="L25" i="1"/>
  <c r="M45" i="1"/>
  <c r="N46" i="1"/>
  <c r="P48" i="1"/>
  <c r="L50" i="1"/>
  <c r="O50" i="1" s="1"/>
  <c r="P54" i="1"/>
  <c r="M60" i="1"/>
  <c r="L65" i="1"/>
  <c r="O65" i="1" s="1"/>
  <c r="L75" i="1"/>
  <c r="M96" i="1"/>
  <c r="M145" i="1"/>
  <c r="P145" i="1" s="1"/>
  <c r="P165" i="1"/>
  <c r="M163" i="1"/>
  <c r="P163" i="1" s="1"/>
  <c r="O175" i="1"/>
  <c r="P361" i="1"/>
  <c r="M358" i="1"/>
  <c r="M359" i="1"/>
  <c r="L74" i="1"/>
  <c r="M97" i="1"/>
  <c r="P97" i="1" s="1"/>
  <c r="N188" i="1"/>
  <c r="P193" i="1"/>
  <c r="M192" i="1"/>
  <c r="P192" i="1" s="1"/>
  <c r="N268" i="1"/>
  <c r="N269" i="1"/>
  <c r="P328" i="1"/>
  <c r="M326" i="1"/>
  <c r="P326" i="1" s="1"/>
  <c r="O337" i="1"/>
  <c r="L334" i="1"/>
  <c r="L336" i="1"/>
  <c r="L95" i="1"/>
  <c r="N141" i="1"/>
  <c r="O141" i="1" s="1"/>
  <c r="O144" i="1"/>
  <c r="M159" i="1"/>
  <c r="O164" i="1"/>
  <c r="L163" i="1"/>
  <c r="O163" i="1" s="1"/>
  <c r="K229" i="1"/>
  <c r="J221" i="1"/>
  <c r="K221" i="1" s="1"/>
  <c r="P270" i="1"/>
  <c r="M267" i="1"/>
  <c r="M269" i="1"/>
  <c r="P269" i="1" s="1"/>
  <c r="N284" i="1"/>
  <c r="P289" i="1"/>
  <c r="M288" i="1"/>
  <c r="P288" i="1" s="1"/>
  <c r="M322" i="1"/>
  <c r="L159" i="1"/>
  <c r="P180" i="1"/>
  <c r="L187" i="1"/>
  <c r="M188" i="1"/>
  <c r="L283" i="1"/>
  <c r="M284" i="1"/>
  <c r="L304" i="1"/>
  <c r="M305" i="1"/>
  <c r="L322" i="1"/>
  <c r="O322" i="1" s="1"/>
  <c r="M362" i="1"/>
  <c r="P362" i="1" s="1"/>
  <c r="M378" i="1"/>
  <c r="L383" i="1"/>
  <c r="J136" i="1"/>
  <c r="K136" i="1" s="1"/>
  <c r="I332" i="1"/>
  <c r="I365" i="1"/>
  <c r="K365" i="1" s="1"/>
  <c r="K152" i="1"/>
  <c r="L188" i="1"/>
  <c r="L284" i="1"/>
  <c r="L305" i="1"/>
  <c r="M334" i="1"/>
  <c r="M357" i="1"/>
  <c r="L378" i="1"/>
  <c r="L266" i="15" l="1"/>
  <c r="O266" i="15" s="1"/>
  <c r="P322" i="15"/>
  <c r="O356" i="14"/>
  <c r="K83" i="15"/>
  <c r="O303" i="15"/>
  <c r="K332" i="15"/>
  <c r="P305" i="15"/>
  <c r="L377" i="15"/>
  <c r="O377" i="15" s="1"/>
  <c r="O59" i="14"/>
  <c r="M24" i="15"/>
  <c r="P24" i="15" s="1"/>
  <c r="P358" i="15"/>
  <c r="P379" i="14"/>
  <c r="K332" i="14"/>
  <c r="K83" i="14"/>
  <c r="M72" i="15"/>
  <c r="P72" i="15" s="1"/>
  <c r="O333" i="15"/>
  <c r="O61" i="15"/>
  <c r="L72" i="15"/>
  <c r="O72" i="15" s="1"/>
  <c r="O305" i="15"/>
  <c r="M320" i="15"/>
  <c r="P320" i="15" s="1"/>
  <c r="O356" i="15"/>
  <c r="P188" i="15"/>
  <c r="L94" i="15"/>
  <c r="O94" i="15" s="1"/>
  <c r="O21" i="15"/>
  <c r="L94" i="14"/>
  <c r="O94" i="14" s="1"/>
  <c r="O186" i="15"/>
  <c r="M356" i="15"/>
  <c r="P356" i="15" s="1"/>
  <c r="O46" i="14"/>
  <c r="O188" i="14"/>
  <c r="I70" i="15"/>
  <c r="K70" i="15" s="1"/>
  <c r="M377" i="15"/>
  <c r="P377" i="15" s="1"/>
  <c r="P379" i="15"/>
  <c r="M125" i="15"/>
  <c r="P125" i="15" s="1"/>
  <c r="P359" i="15"/>
  <c r="P62" i="15"/>
  <c r="P46" i="14"/>
  <c r="L59" i="15"/>
  <c r="O59" i="15" s="1"/>
  <c r="P282" i="15"/>
  <c r="P141" i="15"/>
  <c r="O358" i="15"/>
  <c r="M186" i="15"/>
  <c r="P186" i="15" s="1"/>
  <c r="O188" i="15"/>
  <c r="P268" i="12"/>
  <c r="K83" i="13"/>
  <c r="L20" i="15"/>
  <c r="O23" i="15"/>
  <c r="N20" i="15"/>
  <c r="N18" i="15" s="1"/>
  <c r="P335" i="15"/>
  <c r="M59" i="15"/>
  <c r="P59" i="15" s="1"/>
  <c r="P61" i="15"/>
  <c r="M157" i="15"/>
  <c r="P157" i="15" s="1"/>
  <c r="O159" i="15"/>
  <c r="L157" i="15"/>
  <c r="O157" i="15" s="1"/>
  <c r="M266" i="15"/>
  <c r="P266" i="15" s="1"/>
  <c r="M303" i="15"/>
  <c r="P303" i="15" s="1"/>
  <c r="L139" i="15"/>
  <c r="O141" i="15"/>
  <c r="P333" i="15"/>
  <c r="P175" i="15"/>
  <c r="I231" i="15"/>
  <c r="K242" i="15"/>
  <c r="O284" i="15"/>
  <c r="L282" i="15"/>
  <c r="O282" i="15" s="1"/>
  <c r="O322" i="15"/>
  <c r="L320" i="15"/>
  <c r="O320" i="15" s="1"/>
  <c r="O358" i="13"/>
  <c r="P46" i="15"/>
  <c r="M44" i="15"/>
  <c r="O175" i="15"/>
  <c r="L173" i="15"/>
  <c r="O173" i="15" s="1"/>
  <c r="N139" i="15"/>
  <c r="P139" i="15" s="1"/>
  <c r="O243" i="15"/>
  <c r="L232" i="15"/>
  <c r="L44" i="15"/>
  <c r="O46" i="15"/>
  <c r="L320" i="14"/>
  <c r="O320" i="14" s="1"/>
  <c r="M20" i="15"/>
  <c r="P23" i="15"/>
  <c r="M21" i="15"/>
  <c r="P21" i="15" s="1"/>
  <c r="P96" i="15"/>
  <c r="M94" i="15"/>
  <c r="P94" i="15" s="1"/>
  <c r="M173" i="15"/>
  <c r="P173" i="15" s="1"/>
  <c r="L125" i="15"/>
  <c r="O125" i="15" s="1"/>
  <c r="O127" i="15"/>
  <c r="L24" i="15"/>
  <c r="O24" i="15" s="1"/>
  <c r="O26" i="15"/>
  <c r="O335" i="15"/>
  <c r="P284" i="15"/>
  <c r="O322" i="13"/>
  <c r="L157" i="14"/>
  <c r="O157" i="14" s="1"/>
  <c r="O26" i="14"/>
  <c r="K82" i="14"/>
  <c r="M44" i="14"/>
  <c r="P44" i="14" s="1"/>
  <c r="L377" i="14"/>
  <c r="O377" i="14" s="1"/>
  <c r="N40" i="14"/>
  <c r="P335" i="13"/>
  <c r="O175" i="14"/>
  <c r="O21" i="14"/>
  <c r="O173" i="12"/>
  <c r="M72" i="13"/>
  <c r="P72" i="13" s="1"/>
  <c r="L72" i="14"/>
  <c r="O72" i="14" s="1"/>
  <c r="O358" i="14"/>
  <c r="M72" i="14"/>
  <c r="P72" i="14" s="1"/>
  <c r="P358" i="14"/>
  <c r="O61" i="14"/>
  <c r="L282" i="14"/>
  <c r="O282" i="14" s="1"/>
  <c r="M157" i="14"/>
  <c r="P157" i="14" s="1"/>
  <c r="P159" i="14"/>
  <c r="M282" i="14"/>
  <c r="P282" i="14" s="1"/>
  <c r="P284" i="14"/>
  <c r="M59" i="14"/>
  <c r="P59" i="14" s="1"/>
  <c r="P61" i="14"/>
  <c r="O127" i="14"/>
  <c r="L125" i="14"/>
  <c r="O125" i="14" s="1"/>
  <c r="M24" i="14"/>
  <c r="P24" i="14" s="1"/>
  <c r="P26" i="14"/>
  <c r="M356" i="14"/>
  <c r="P356" i="14" s="1"/>
  <c r="O141" i="14"/>
  <c r="L139" i="14"/>
  <c r="O139" i="14" s="1"/>
  <c r="M186" i="14"/>
  <c r="P186" i="14" s="1"/>
  <c r="P188" i="14"/>
  <c r="M303" i="14"/>
  <c r="P303" i="14" s="1"/>
  <c r="P305" i="14"/>
  <c r="L186" i="14"/>
  <c r="O186" i="14" s="1"/>
  <c r="M320" i="14"/>
  <c r="P320" i="14" s="1"/>
  <c r="P335" i="14"/>
  <c r="M333" i="14"/>
  <c r="P333" i="14" s="1"/>
  <c r="M282" i="13"/>
  <c r="P282" i="13" s="1"/>
  <c r="M125" i="14"/>
  <c r="P125" i="14" s="1"/>
  <c r="M266" i="14"/>
  <c r="P266" i="14" s="1"/>
  <c r="P268" i="14"/>
  <c r="O335" i="14"/>
  <c r="L173" i="14"/>
  <c r="O173" i="14" s="1"/>
  <c r="M320" i="12"/>
  <c r="P320" i="12" s="1"/>
  <c r="P141" i="13"/>
  <c r="O243" i="14"/>
  <c r="L232" i="14"/>
  <c r="O333" i="14"/>
  <c r="K242" i="14"/>
  <c r="I231" i="14"/>
  <c r="M94" i="14"/>
  <c r="P94" i="14" s="1"/>
  <c r="L20" i="14"/>
  <c r="O23" i="14"/>
  <c r="M94" i="12"/>
  <c r="P94" i="12" s="1"/>
  <c r="M20" i="14"/>
  <c r="P23" i="14"/>
  <c r="M21" i="14"/>
  <c r="P21" i="14" s="1"/>
  <c r="N20" i="14"/>
  <c r="N18" i="14" s="1"/>
  <c r="M139" i="14"/>
  <c r="P139" i="14" s="1"/>
  <c r="L266" i="14"/>
  <c r="O266" i="14" s="1"/>
  <c r="L44" i="14"/>
  <c r="L303" i="14"/>
  <c r="O303" i="14" s="1"/>
  <c r="M173" i="14"/>
  <c r="P173" i="14" s="1"/>
  <c r="P175" i="14"/>
  <c r="P141" i="12"/>
  <c r="L303" i="13"/>
  <c r="O303" i="13" s="1"/>
  <c r="N139" i="13"/>
  <c r="P139" i="13" s="1"/>
  <c r="L266" i="12"/>
  <c r="O266" i="12" s="1"/>
  <c r="P46" i="13"/>
  <c r="O46" i="13"/>
  <c r="K82" i="13"/>
  <c r="O186" i="13"/>
  <c r="M125" i="13"/>
  <c r="P125" i="13" s="1"/>
  <c r="O61" i="13"/>
  <c r="M377" i="13"/>
  <c r="P377" i="13" s="1"/>
  <c r="M266" i="2"/>
  <c r="P266" i="2" s="1"/>
  <c r="O59" i="13"/>
  <c r="P61" i="12"/>
  <c r="P188" i="13"/>
  <c r="N333" i="13"/>
  <c r="O333" i="13" s="1"/>
  <c r="L303" i="12"/>
  <c r="O303" i="12" s="1"/>
  <c r="K83" i="12"/>
  <c r="M266" i="13"/>
  <c r="P266" i="13" s="1"/>
  <c r="O188" i="13"/>
  <c r="P173" i="13"/>
  <c r="N320" i="13"/>
  <c r="O320" i="13" s="1"/>
  <c r="O189" i="11"/>
  <c r="L266" i="13"/>
  <c r="O266" i="13" s="1"/>
  <c r="O96" i="10"/>
  <c r="M157" i="12"/>
  <c r="P157" i="12" s="1"/>
  <c r="O47" i="13"/>
  <c r="P322" i="13"/>
  <c r="O335" i="13"/>
  <c r="P175" i="13"/>
  <c r="O19" i="13"/>
  <c r="M157" i="13"/>
  <c r="P157" i="13" s="1"/>
  <c r="O96" i="13"/>
  <c r="L94" i="13"/>
  <c r="O94" i="13" s="1"/>
  <c r="L266" i="10"/>
  <c r="O266" i="10" s="1"/>
  <c r="O175" i="12"/>
  <c r="I231" i="13"/>
  <c r="K242" i="13"/>
  <c r="M44" i="13"/>
  <c r="O243" i="13"/>
  <c r="L232" i="13"/>
  <c r="O379" i="13"/>
  <c r="L377" i="13"/>
  <c r="O377" i="13" s="1"/>
  <c r="O159" i="13"/>
  <c r="L157" i="13"/>
  <c r="O157" i="13" s="1"/>
  <c r="L125" i="13"/>
  <c r="O125" i="13" s="1"/>
  <c r="O127" i="13"/>
  <c r="M186" i="13"/>
  <c r="P186" i="13" s="1"/>
  <c r="P305" i="13"/>
  <c r="M303" i="13"/>
  <c r="P303" i="13" s="1"/>
  <c r="L44" i="13"/>
  <c r="M59" i="13"/>
  <c r="P59" i="13" s="1"/>
  <c r="P61" i="13"/>
  <c r="P358" i="13"/>
  <c r="M356" i="13"/>
  <c r="O26" i="13"/>
  <c r="L24" i="13"/>
  <c r="O24" i="13" s="1"/>
  <c r="N20" i="13"/>
  <c r="N18" i="13" s="1"/>
  <c r="P26" i="13"/>
  <c r="M24" i="13"/>
  <c r="P24" i="13" s="1"/>
  <c r="L139" i="13"/>
  <c r="O141" i="13"/>
  <c r="O175" i="13"/>
  <c r="L173" i="13"/>
  <c r="O173" i="13" s="1"/>
  <c r="M20" i="13"/>
  <c r="P23" i="13"/>
  <c r="M21" i="13"/>
  <c r="O379" i="12"/>
  <c r="O61" i="12"/>
  <c r="O74" i="13"/>
  <c r="L72" i="13"/>
  <c r="O72" i="13" s="1"/>
  <c r="L20" i="13"/>
  <c r="O23" i="13"/>
  <c r="O284" i="13"/>
  <c r="L282" i="13"/>
  <c r="O282" i="13" s="1"/>
  <c r="N21" i="13"/>
  <c r="O21" i="13" s="1"/>
  <c r="P323" i="13"/>
  <c r="N356" i="13"/>
  <c r="O356" i="13" s="1"/>
  <c r="M94" i="13"/>
  <c r="P94" i="13" s="1"/>
  <c r="O188" i="12"/>
  <c r="L125" i="11"/>
  <c r="O125" i="11" s="1"/>
  <c r="O141" i="12"/>
  <c r="K242" i="12"/>
  <c r="P356" i="12"/>
  <c r="L24" i="12"/>
  <c r="O24" i="12" s="1"/>
  <c r="O59" i="12"/>
  <c r="L186" i="12"/>
  <c r="O186" i="12" s="1"/>
  <c r="P333" i="12"/>
  <c r="P358" i="12"/>
  <c r="P175" i="12"/>
  <c r="M377" i="11"/>
  <c r="P377" i="11" s="1"/>
  <c r="L94" i="12"/>
  <c r="O94" i="12" s="1"/>
  <c r="I70" i="12"/>
  <c r="K70" i="12" s="1"/>
  <c r="M59" i="12"/>
  <c r="P59" i="12" s="1"/>
  <c r="N356" i="1"/>
  <c r="O46" i="12"/>
  <c r="M282" i="12"/>
  <c r="P282" i="12" s="1"/>
  <c r="N139" i="12"/>
  <c r="O139" i="12" s="1"/>
  <c r="L320" i="11"/>
  <c r="O320" i="11" s="1"/>
  <c r="P335" i="12"/>
  <c r="M173" i="12"/>
  <c r="P173" i="12" s="1"/>
  <c r="M72" i="12"/>
  <c r="P72" i="12" s="1"/>
  <c r="M125" i="12"/>
  <c r="P125" i="12" s="1"/>
  <c r="O322" i="12"/>
  <c r="L320" i="12"/>
  <c r="O320" i="12" s="1"/>
  <c r="P305" i="12"/>
  <c r="M303" i="12"/>
  <c r="P303" i="12" s="1"/>
  <c r="M320" i="11"/>
  <c r="P320" i="11" s="1"/>
  <c r="P44" i="12"/>
  <c r="M20" i="12"/>
  <c r="M21" i="12"/>
  <c r="P23" i="12"/>
  <c r="I185" i="12"/>
  <c r="K185" i="12" s="1"/>
  <c r="K231" i="12"/>
  <c r="L125" i="12"/>
  <c r="O125" i="12" s="1"/>
  <c r="O127" i="12"/>
  <c r="N21" i="12"/>
  <c r="O21" i="12" s="1"/>
  <c r="N20" i="12"/>
  <c r="N18" i="12" s="1"/>
  <c r="L282" i="12"/>
  <c r="O282" i="12" s="1"/>
  <c r="O379" i="11"/>
  <c r="M24" i="12"/>
  <c r="P24" i="12" s="1"/>
  <c r="P26" i="12"/>
  <c r="O23" i="12"/>
  <c r="L20" i="12"/>
  <c r="M377" i="12"/>
  <c r="P377" i="12" s="1"/>
  <c r="L157" i="12"/>
  <c r="O157" i="12" s="1"/>
  <c r="O74" i="12"/>
  <c r="L72" i="12"/>
  <c r="L356" i="12"/>
  <c r="O356" i="12" s="1"/>
  <c r="O358" i="12"/>
  <c r="N125" i="1"/>
  <c r="P46" i="12"/>
  <c r="L232" i="12"/>
  <c r="O44" i="12"/>
  <c r="P188" i="12"/>
  <c r="M186" i="12"/>
  <c r="P186" i="12" s="1"/>
  <c r="L333" i="12"/>
  <c r="O333" i="12" s="1"/>
  <c r="O335" i="12"/>
  <c r="P189" i="12"/>
  <c r="M282" i="10"/>
  <c r="P282" i="10" s="1"/>
  <c r="P356" i="11"/>
  <c r="O356" i="11"/>
  <c r="L94" i="11"/>
  <c r="O94" i="11" s="1"/>
  <c r="P46" i="11"/>
  <c r="P175" i="11"/>
  <c r="N20" i="11"/>
  <c r="N18" i="11" s="1"/>
  <c r="L303" i="11"/>
  <c r="O303" i="11" s="1"/>
  <c r="M157" i="11"/>
  <c r="P157" i="11" s="1"/>
  <c r="L266" i="11"/>
  <c r="O266" i="11" s="1"/>
  <c r="O188" i="11"/>
  <c r="I231" i="10"/>
  <c r="K231" i="10" s="1"/>
  <c r="M44" i="11"/>
  <c r="P44" i="11" s="1"/>
  <c r="P175" i="10"/>
  <c r="I70" i="11"/>
  <c r="K70" i="11" s="1"/>
  <c r="M282" i="11"/>
  <c r="P282" i="11" s="1"/>
  <c r="M72" i="11"/>
  <c r="P72" i="11" s="1"/>
  <c r="M173" i="11"/>
  <c r="P173" i="11" s="1"/>
  <c r="O61" i="10"/>
  <c r="O59" i="11"/>
  <c r="P61" i="11"/>
  <c r="P59" i="11"/>
  <c r="N40" i="11"/>
  <c r="N21" i="11"/>
  <c r="P21" i="11" s="1"/>
  <c r="M125" i="11"/>
  <c r="P125" i="11" s="1"/>
  <c r="O186" i="11"/>
  <c r="P189" i="11"/>
  <c r="O61" i="11"/>
  <c r="K83" i="11"/>
  <c r="P358" i="11"/>
  <c r="L282" i="10"/>
  <c r="O282" i="10" s="1"/>
  <c r="O358" i="11"/>
  <c r="P188" i="11"/>
  <c r="M186" i="11"/>
  <c r="P186" i="11" s="1"/>
  <c r="P189" i="10"/>
  <c r="L20" i="11"/>
  <c r="O23" i="11"/>
  <c r="M139" i="11"/>
  <c r="P139" i="11" s="1"/>
  <c r="L282" i="11"/>
  <c r="O282" i="11" s="1"/>
  <c r="O188" i="10"/>
  <c r="K253" i="11"/>
  <c r="I231" i="11"/>
  <c r="L232" i="11"/>
  <c r="O243" i="11"/>
  <c r="L21" i="11"/>
  <c r="P268" i="11"/>
  <c r="M266" i="11"/>
  <c r="P266" i="11" s="1"/>
  <c r="P19" i="11"/>
  <c r="O173" i="11"/>
  <c r="P333" i="11"/>
  <c r="O335" i="11"/>
  <c r="L157" i="11"/>
  <c r="O157" i="11" s="1"/>
  <c r="O159" i="11"/>
  <c r="L125" i="10"/>
  <c r="O125" i="10" s="1"/>
  <c r="O46" i="11"/>
  <c r="L44" i="11"/>
  <c r="O19" i="11"/>
  <c r="P335" i="11"/>
  <c r="O333" i="11"/>
  <c r="L72" i="11"/>
  <c r="O72" i="11" s="1"/>
  <c r="O74" i="11"/>
  <c r="L24" i="11"/>
  <c r="O24" i="11" s="1"/>
  <c r="O26" i="11"/>
  <c r="M24" i="11"/>
  <c r="P24" i="11" s="1"/>
  <c r="L139" i="11"/>
  <c r="O139" i="11" s="1"/>
  <c r="P141" i="9"/>
  <c r="M94" i="11"/>
  <c r="P94" i="11" s="1"/>
  <c r="P96" i="11"/>
  <c r="M20" i="11"/>
  <c r="P23" i="11"/>
  <c r="M303" i="11"/>
  <c r="P303" i="11" s="1"/>
  <c r="P305" i="11"/>
  <c r="O175" i="11"/>
  <c r="M125" i="10"/>
  <c r="P125" i="10" s="1"/>
  <c r="M94" i="10"/>
  <c r="P94" i="10" s="1"/>
  <c r="L173" i="10"/>
  <c r="O173" i="10" s="1"/>
  <c r="O188" i="9"/>
  <c r="P186" i="10"/>
  <c r="P188" i="10"/>
  <c r="L186" i="10"/>
  <c r="O186" i="10" s="1"/>
  <c r="O356" i="10"/>
  <c r="O358" i="10"/>
  <c r="L157" i="10"/>
  <c r="O157" i="10" s="1"/>
  <c r="L303" i="10"/>
  <c r="O303" i="10" s="1"/>
  <c r="O62" i="10"/>
  <c r="O47" i="10"/>
  <c r="O359" i="10"/>
  <c r="P333" i="9"/>
  <c r="N40" i="10"/>
  <c r="O335" i="10"/>
  <c r="L139" i="10"/>
  <c r="O139" i="10" s="1"/>
  <c r="O96" i="9"/>
  <c r="L320" i="10"/>
  <c r="O320" i="10" s="1"/>
  <c r="I70" i="10"/>
  <c r="K70" i="10" s="1"/>
  <c r="L59" i="10"/>
  <c r="O59" i="10" s="1"/>
  <c r="O46" i="10"/>
  <c r="O333" i="10"/>
  <c r="O44" i="10"/>
  <c r="L72" i="10"/>
  <c r="O72" i="10" s="1"/>
  <c r="M303" i="10"/>
  <c r="P303" i="10" s="1"/>
  <c r="P305" i="10"/>
  <c r="P335" i="10"/>
  <c r="M333" i="10"/>
  <c r="P333" i="10" s="1"/>
  <c r="O243" i="10"/>
  <c r="L232" i="10"/>
  <c r="O335" i="8"/>
  <c r="O139" i="9"/>
  <c r="M20" i="10"/>
  <c r="M18" i="10" s="1"/>
  <c r="P23" i="10"/>
  <c r="M59" i="10"/>
  <c r="P59" i="10" s="1"/>
  <c r="P61" i="10"/>
  <c r="M139" i="10"/>
  <c r="P139" i="10" s="1"/>
  <c r="I71" i="10"/>
  <c r="K71" i="10" s="1"/>
  <c r="K83" i="10"/>
  <c r="P358" i="10"/>
  <c r="M356" i="10"/>
  <c r="P356" i="10" s="1"/>
  <c r="P379" i="10"/>
  <c r="M377" i="10"/>
  <c r="P377" i="10" s="1"/>
  <c r="O379" i="10"/>
  <c r="L377" i="10"/>
  <c r="O377" i="10" s="1"/>
  <c r="M266" i="10"/>
  <c r="P266" i="10" s="1"/>
  <c r="P268" i="10"/>
  <c r="L157" i="9"/>
  <c r="O157" i="9" s="1"/>
  <c r="O61" i="9"/>
  <c r="P46" i="10"/>
  <c r="M44" i="10"/>
  <c r="L24" i="10"/>
  <c r="O24" i="10" s="1"/>
  <c r="O26" i="10"/>
  <c r="P19" i="10"/>
  <c r="M24" i="10"/>
  <c r="P24" i="10" s="1"/>
  <c r="P26" i="10"/>
  <c r="M320" i="10"/>
  <c r="P320" i="10" s="1"/>
  <c r="O23" i="10"/>
  <c r="L21" i="10"/>
  <c r="O21" i="10" s="1"/>
  <c r="L20" i="10"/>
  <c r="M157" i="10"/>
  <c r="P157" i="10" s="1"/>
  <c r="P159" i="10"/>
  <c r="M72" i="10"/>
  <c r="P72" i="10" s="1"/>
  <c r="P74" i="10"/>
  <c r="M21" i="10"/>
  <c r="P21" i="10" s="1"/>
  <c r="N20" i="10"/>
  <c r="N18" i="10" s="1"/>
  <c r="P305" i="9"/>
  <c r="O305" i="9"/>
  <c r="O379" i="9"/>
  <c r="O46" i="9"/>
  <c r="O303" i="9"/>
  <c r="O74" i="9"/>
  <c r="O141" i="9"/>
  <c r="P142" i="9"/>
  <c r="M377" i="8"/>
  <c r="P377" i="8" s="1"/>
  <c r="O62" i="9"/>
  <c r="P62" i="9"/>
  <c r="P356" i="9"/>
  <c r="O26" i="9"/>
  <c r="P303" i="9"/>
  <c r="O173" i="7"/>
  <c r="M139" i="8"/>
  <c r="P139" i="8" s="1"/>
  <c r="L186" i="9"/>
  <c r="O186" i="9" s="1"/>
  <c r="O358" i="8"/>
  <c r="M320" i="9"/>
  <c r="P320" i="9" s="1"/>
  <c r="P306" i="9"/>
  <c r="L44" i="9"/>
  <c r="O44" i="9" s="1"/>
  <c r="N40" i="9"/>
  <c r="O75" i="9"/>
  <c r="L356" i="8"/>
  <c r="O356" i="8" s="1"/>
  <c r="P335" i="9"/>
  <c r="L125" i="9"/>
  <c r="O125" i="9" s="1"/>
  <c r="P47" i="9"/>
  <c r="K82" i="9"/>
  <c r="I70" i="9"/>
  <c r="K70" i="9" s="1"/>
  <c r="L320" i="8"/>
  <c r="O320" i="8" s="1"/>
  <c r="K242" i="9"/>
  <c r="I231" i="9"/>
  <c r="M59" i="9"/>
  <c r="P59" i="9" s="1"/>
  <c r="P61" i="9"/>
  <c r="M266" i="9"/>
  <c r="P266" i="9" s="1"/>
  <c r="P268" i="9"/>
  <c r="L232" i="9"/>
  <c r="O243" i="9"/>
  <c r="O173" i="8"/>
  <c r="P159" i="9"/>
  <c r="M157" i="9"/>
  <c r="P157" i="9" s="1"/>
  <c r="L59" i="9"/>
  <c r="O59" i="9" s="1"/>
  <c r="M24" i="9"/>
  <c r="P24" i="9" s="1"/>
  <c r="P26" i="9"/>
  <c r="L72" i="9"/>
  <c r="O72" i="9" s="1"/>
  <c r="L333" i="9"/>
  <c r="O333" i="9" s="1"/>
  <c r="O335" i="9"/>
  <c r="N20" i="9"/>
  <c r="N18" i="9" s="1"/>
  <c r="M125" i="8"/>
  <c r="P125" i="8" s="1"/>
  <c r="M173" i="9"/>
  <c r="P173" i="9" s="1"/>
  <c r="P175" i="9"/>
  <c r="M139" i="9"/>
  <c r="P139" i="9" s="1"/>
  <c r="I71" i="9"/>
  <c r="K71" i="9" s="1"/>
  <c r="K83" i="9"/>
  <c r="L173" i="9"/>
  <c r="O173" i="9" s="1"/>
  <c r="L266" i="9"/>
  <c r="O266" i="9" s="1"/>
  <c r="M72" i="9"/>
  <c r="P72" i="9" s="1"/>
  <c r="P74" i="9"/>
  <c r="L21" i="9"/>
  <c r="L20" i="9"/>
  <c r="O23" i="9"/>
  <c r="M20" i="9"/>
  <c r="P23" i="9"/>
  <c r="M21" i="9"/>
  <c r="N21" i="9"/>
  <c r="P358" i="9"/>
  <c r="O322" i="9"/>
  <c r="L320" i="9"/>
  <c r="O320" i="9" s="1"/>
  <c r="M125" i="9"/>
  <c r="P125" i="9" s="1"/>
  <c r="M94" i="9"/>
  <c r="P94" i="9" s="1"/>
  <c r="M186" i="9"/>
  <c r="P186" i="9" s="1"/>
  <c r="P188" i="9"/>
  <c r="L282" i="9"/>
  <c r="O282" i="9" s="1"/>
  <c r="O358" i="9"/>
  <c r="M44" i="9"/>
  <c r="P46" i="9"/>
  <c r="M282" i="9"/>
  <c r="P282" i="9" s="1"/>
  <c r="P284" i="9"/>
  <c r="M377" i="9"/>
  <c r="P377" i="9" s="1"/>
  <c r="O356" i="9"/>
  <c r="M266" i="8"/>
  <c r="P266" i="8" s="1"/>
  <c r="L125" i="8"/>
  <c r="O125" i="8" s="1"/>
  <c r="O61" i="8"/>
  <c r="N20" i="8"/>
  <c r="N18" i="8" s="1"/>
  <c r="N377" i="1"/>
  <c r="L94" i="8"/>
  <c r="O94" i="8" s="1"/>
  <c r="O188" i="8"/>
  <c r="M303" i="8"/>
  <c r="P303" i="8" s="1"/>
  <c r="M94" i="8"/>
  <c r="P94" i="8" s="1"/>
  <c r="I70" i="7"/>
  <c r="K70" i="7" s="1"/>
  <c r="P74" i="7"/>
  <c r="L232" i="8"/>
  <c r="L282" i="7"/>
  <c r="O282" i="7" s="1"/>
  <c r="M282" i="7"/>
  <c r="P282" i="7" s="1"/>
  <c r="P358" i="8"/>
  <c r="P188" i="8"/>
  <c r="O243" i="8"/>
  <c r="O333" i="8"/>
  <c r="L186" i="8"/>
  <c r="O186" i="8" s="1"/>
  <c r="L72" i="8"/>
  <c r="O72" i="8" s="1"/>
  <c r="L94" i="6"/>
  <c r="O94" i="6" s="1"/>
  <c r="I71" i="8"/>
  <c r="K71" i="8" s="1"/>
  <c r="K83" i="8"/>
  <c r="P186" i="7"/>
  <c r="P159" i="7"/>
  <c r="L24" i="8"/>
  <c r="O24" i="8" s="1"/>
  <c r="O189" i="8"/>
  <c r="L59" i="8"/>
  <c r="O59" i="8" s="1"/>
  <c r="O175" i="8"/>
  <c r="L266" i="8"/>
  <c r="O266" i="8" s="1"/>
  <c r="L377" i="8"/>
  <c r="O377" i="8" s="1"/>
  <c r="M320" i="7"/>
  <c r="P320" i="7" s="1"/>
  <c r="L266" i="7"/>
  <c r="O266" i="7" s="1"/>
  <c r="O46" i="8"/>
  <c r="L282" i="8"/>
  <c r="O282" i="8" s="1"/>
  <c r="O284" i="8"/>
  <c r="M72" i="8"/>
  <c r="P72" i="8" s="1"/>
  <c r="P74" i="8"/>
  <c r="M173" i="8"/>
  <c r="P173" i="8" s="1"/>
  <c r="P175" i="8"/>
  <c r="M356" i="8"/>
  <c r="P356" i="8" s="1"/>
  <c r="P336" i="7"/>
  <c r="O188" i="7"/>
  <c r="M157" i="8"/>
  <c r="P157" i="8" s="1"/>
  <c r="P159" i="8"/>
  <c r="O44" i="8"/>
  <c r="P44" i="7"/>
  <c r="M320" i="8"/>
  <c r="P320" i="8" s="1"/>
  <c r="P322" i="8"/>
  <c r="M282" i="8"/>
  <c r="P282" i="8" s="1"/>
  <c r="P284" i="8"/>
  <c r="K82" i="8"/>
  <c r="I70" i="8"/>
  <c r="K70" i="8" s="1"/>
  <c r="L139" i="8"/>
  <c r="O139" i="8" s="1"/>
  <c r="K253" i="8"/>
  <c r="I231" i="8"/>
  <c r="M20" i="8"/>
  <c r="P23" i="8"/>
  <c r="N40" i="8"/>
  <c r="L21" i="8"/>
  <c r="O21" i="8" s="1"/>
  <c r="O23" i="8"/>
  <c r="L20" i="8"/>
  <c r="P335" i="8"/>
  <c r="M333" i="8"/>
  <c r="P333" i="8" s="1"/>
  <c r="L303" i="8"/>
  <c r="O303" i="8" s="1"/>
  <c r="M24" i="8"/>
  <c r="P24" i="8" s="1"/>
  <c r="P26" i="8"/>
  <c r="M125" i="6"/>
  <c r="P125" i="6" s="1"/>
  <c r="O46" i="7"/>
  <c r="P188" i="7"/>
  <c r="L232" i="7"/>
  <c r="L157" i="8"/>
  <c r="O157" i="8" s="1"/>
  <c r="O159" i="8"/>
  <c r="M44" i="8"/>
  <c r="P46" i="8"/>
  <c r="M21" i="8"/>
  <c r="P21" i="8" s="1"/>
  <c r="M186" i="8"/>
  <c r="P186" i="8" s="1"/>
  <c r="P19" i="8"/>
  <c r="M59" i="8"/>
  <c r="P59" i="8" s="1"/>
  <c r="P61" i="8"/>
  <c r="P322" i="6"/>
  <c r="P61" i="7"/>
  <c r="P188" i="6"/>
  <c r="L125" i="7"/>
  <c r="O125" i="7" s="1"/>
  <c r="N20" i="7"/>
  <c r="N18" i="7" s="1"/>
  <c r="O243" i="7"/>
  <c r="L157" i="7"/>
  <c r="O157" i="7" s="1"/>
  <c r="O47" i="7"/>
  <c r="O379" i="1"/>
  <c r="P335" i="6"/>
  <c r="O175" i="6"/>
  <c r="O61" i="7"/>
  <c r="O175" i="7"/>
  <c r="L94" i="7"/>
  <c r="O94" i="7" s="1"/>
  <c r="O159" i="6"/>
  <c r="O335" i="7"/>
  <c r="O186" i="7"/>
  <c r="P46" i="7"/>
  <c r="M303" i="7"/>
  <c r="P303" i="7" s="1"/>
  <c r="P175" i="7"/>
  <c r="L320" i="7"/>
  <c r="O320" i="7" s="1"/>
  <c r="L72" i="7"/>
  <c r="O72" i="7" s="1"/>
  <c r="P59" i="7"/>
  <c r="L303" i="7"/>
  <c r="O303" i="7" s="1"/>
  <c r="N333" i="7"/>
  <c r="P333" i="7" s="1"/>
  <c r="M139" i="7"/>
  <c r="P139" i="7" s="1"/>
  <c r="M125" i="7"/>
  <c r="P125" i="7" s="1"/>
  <c r="M173" i="7"/>
  <c r="P173" i="7" s="1"/>
  <c r="P175" i="6"/>
  <c r="L139" i="7"/>
  <c r="O139" i="7" s="1"/>
  <c r="P335" i="7"/>
  <c r="K242" i="7"/>
  <c r="I231" i="7"/>
  <c r="I71" i="7"/>
  <c r="K71" i="7" s="1"/>
  <c r="K83" i="7"/>
  <c r="M24" i="7"/>
  <c r="P24" i="7" s="1"/>
  <c r="P358" i="7"/>
  <c r="M356" i="7"/>
  <c r="P356" i="7" s="1"/>
  <c r="L356" i="7"/>
  <c r="O356" i="7" s="1"/>
  <c r="O358" i="7"/>
  <c r="O59" i="6"/>
  <c r="P59" i="6"/>
  <c r="O188" i="6"/>
  <c r="M20" i="7"/>
  <c r="P23" i="7"/>
  <c r="N21" i="7"/>
  <c r="P21" i="7" s="1"/>
  <c r="L44" i="7"/>
  <c r="O336" i="7"/>
  <c r="L59" i="7"/>
  <c r="O59" i="7" s="1"/>
  <c r="L20" i="7"/>
  <c r="L21" i="7"/>
  <c r="O23" i="7"/>
  <c r="M94" i="7"/>
  <c r="P94" i="7" s="1"/>
  <c r="O26" i="7"/>
  <c r="L24" i="7"/>
  <c r="O24" i="7" s="1"/>
  <c r="P268" i="7"/>
  <c r="M266" i="7"/>
  <c r="P266" i="7" s="1"/>
  <c r="M282" i="6"/>
  <c r="P282" i="6" s="1"/>
  <c r="M377" i="7"/>
  <c r="P377" i="7" s="1"/>
  <c r="P379" i="7"/>
  <c r="L377" i="7"/>
  <c r="O377" i="7" s="1"/>
  <c r="O323" i="1"/>
  <c r="L139" i="6"/>
  <c r="O139" i="6" s="1"/>
  <c r="O188" i="4"/>
  <c r="P75" i="1"/>
  <c r="M139" i="6"/>
  <c r="P139" i="6" s="1"/>
  <c r="L377" i="6"/>
  <c r="O377" i="6" s="1"/>
  <c r="L282" i="6"/>
  <c r="O282" i="6" s="1"/>
  <c r="M157" i="5"/>
  <c r="P157" i="5" s="1"/>
  <c r="O335" i="5"/>
  <c r="P358" i="6"/>
  <c r="M173" i="6"/>
  <c r="P173" i="6" s="1"/>
  <c r="O46" i="5"/>
  <c r="K332" i="5"/>
  <c r="O59" i="5"/>
  <c r="L186" i="6"/>
  <c r="O186" i="6" s="1"/>
  <c r="P96" i="6"/>
  <c r="O74" i="6"/>
  <c r="P359" i="6"/>
  <c r="K83" i="6"/>
  <c r="P46" i="5"/>
  <c r="M72" i="5"/>
  <c r="P72" i="5" s="1"/>
  <c r="M320" i="5"/>
  <c r="P320" i="5" s="1"/>
  <c r="O322" i="6"/>
  <c r="M186" i="6"/>
  <c r="P186" i="6" s="1"/>
  <c r="N20" i="6"/>
  <c r="N18" i="6" s="1"/>
  <c r="P61" i="6"/>
  <c r="O336" i="6"/>
  <c r="L173" i="6"/>
  <c r="O173" i="6" s="1"/>
  <c r="M377" i="6"/>
  <c r="P377" i="6" s="1"/>
  <c r="O61" i="6"/>
  <c r="M303" i="6"/>
  <c r="P303" i="6" s="1"/>
  <c r="M266" i="6"/>
  <c r="P266" i="6" s="1"/>
  <c r="L24" i="6"/>
  <c r="O24" i="6" s="1"/>
  <c r="L333" i="6"/>
  <c r="O335" i="6"/>
  <c r="N333" i="6"/>
  <c r="P333" i="6" s="1"/>
  <c r="M125" i="5"/>
  <c r="P125" i="5" s="1"/>
  <c r="L356" i="6"/>
  <c r="O356" i="6" s="1"/>
  <c r="O358" i="6"/>
  <c r="N21" i="6"/>
  <c r="P21" i="6" s="1"/>
  <c r="M157" i="6"/>
  <c r="P157" i="6" s="1"/>
  <c r="L125" i="6"/>
  <c r="O125" i="6" s="1"/>
  <c r="P19" i="6"/>
  <c r="K231" i="6"/>
  <c r="I185" i="6"/>
  <c r="K185" i="6" s="1"/>
  <c r="O359" i="6"/>
  <c r="M44" i="6"/>
  <c r="P46" i="6"/>
  <c r="M20" i="6"/>
  <c r="P20" i="6" s="1"/>
  <c r="P23" i="6"/>
  <c r="M24" i="6"/>
  <c r="P24" i="6" s="1"/>
  <c r="P26" i="6"/>
  <c r="P356" i="6"/>
  <c r="L232" i="6"/>
  <c r="O243" i="6"/>
  <c r="O23" i="6"/>
  <c r="L21" i="6"/>
  <c r="L20" i="6"/>
  <c r="O46" i="6"/>
  <c r="O268" i="6"/>
  <c r="L266" i="6"/>
  <c r="O266" i="6" s="1"/>
  <c r="P358" i="4"/>
  <c r="L94" i="4"/>
  <c r="O94" i="4" s="1"/>
  <c r="M24" i="5"/>
  <c r="P24" i="5" s="1"/>
  <c r="M377" i="5"/>
  <c r="P377" i="5" s="1"/>
  <c r="M72" i="6"/>
  <c r="P72" i="6" s="1"/>
  <c r="P74" i="6"/>
  <c r="O44" i="6"/>
  <c r="K82" i="6"/>
  <c r="I70" i="6"/>
  <c r="K70" i="6" s="1"/>
  <c r="O176" i="6"/>
  <c r="P176" i="6"/>
  <c r="L303" i="6"/>
  <c r="O303" i="6" s="1"/>
  <c r="O383" i="1"/>
  <c r="P379" i="4"/>
  <c r="L303" i="5"/>
  <c r="O303" i="5" s="1"/>
  <c r="O173" i="5"/>
  <c r="P173" i="5"/>
  <c r="P47" i="5"/>
  <c r="L157" i="5"/>
  <c r="O157" i="5" s="1"/>
  <c r="O284" i="5"/>
  <c r="O358" i="5"/>
  <c r="P175" i="5"/>
  <c r="O189" i="3"/>
  <c r="L320" i="5"/>
  <c r="O320" i="5" s="1"/>
  <c r="O186" i="5"/>
  <c r="L72" i="5"/>
  <c r="O72" i="5" s="1"/>
  <c r="L94" i="5"/>
  <c r="O94" i="5" s="1"/>
  <c r="O175" i="5"/>
  <c r="L44" i="5"/>
  <c r="O44" i="5" s="1"/>
  <c r="O268" i="5"/>
  <c r="L232" i="5"/>
  <c r="O243" i="5"/>
  <c r="L303" i="4"/>
  <c r="O303" i="4" s="1"/>
  <c r="M94" i="5"/>
  <c r="P94" i="5" s="1"/>
  <c r="P284" i="5"/>
  <c r="O61" i="5"/>
  <c r="M44" i="5"/>
  <c r="P44" i="5" s="1"/>
  <c r="K83" i="4"/>
  <c r="L333" i="5"/>
  <c r="O333" i="5" s="1"/>
  <c r="O188" i="5"/>
  <c r="L24" i="5"/>
  <c r="O24" i="5" s="1"/>
  <c r="O26" i="5"/>
  <c r="O141" i="5"/>
  <c r="L139" i="5"/>
  <c r="P175" i="4"/>
  <c r="P141" i="4"/>
  <c r="M186" i="5"/>
  <c r="P186" i="5" s="1"/>
  <c r="P188" i="5"/>
  <c r="L377" i="5"/>
  <c r="O377" i="5" s="1"/>
  <c r="O379" i="5"/>
  <c r="M157" i="3"/>
  <c r="P157" i="3" s="1"/>
  <c r="L72" i="4"/>
  <c r="O72" i="4" s="1"/>
  <c r="I71" i="5"/>
  <c r="K71" i="5" s="1"/>
  <c r="K83" i="5"/>
  <c r="L20" i="5"/>
  <c r="O23" i="5"/>
  <c r="N139" i="5"/>
  <c r="P139" i="5" s="1"/>
  <c r="P141" i="5"/>
  <c r="N20" i="4"/>
  <c r="N18" i="4" s="1"/>
  <c r="M20" i="5"/>
  <c r="P23" i="5"/>
  <c r="M21" i="5"/>
  <c r="P21" i="5" s="1"/>
  <c r="O176" i="5"/>
  <c r="L356" i="5"/>
  <c r="O356" i="5" s="1"/>
  <c r="O139" i="3"/>
  <c r="O333" i="4"/>
  <c r="O356" i="4"/>
  <c r="L21" i="5"/>
  <c r="O21" i="5" s="1"/>
  <c r="I70" i="5"/>
  <c r="K70" i="5" s="1"/>
  <c r="K82" i="5"/>
  <c r="O127" i="5"/>
  <c r="L125" i="5"/>
  <c r="O125" i="5" s="1"/>
  <c r="M59" i="5"/>
  <c r="P59" i="5" s="1"/>
  <c r="P61" i="5"/>
  <c r="K231" i="5"/>
  <c r="I185" i="5"/>
  <c r="K185" i="5" s="1"/>
  <c r="P268" i="5"/>
  <c r="M266" i="5"/>
  <c r="P266" i="5" s="1"/>
  <c r="N20" i="5"/>
  <c r="N18" i="5" s="1"/>
  <c r="M356" i="5"/>
  <c r="P356" i="5" s="1"/>
  <c r="P358" i="5"/>
  <c r="M303" i="5"/>
  <c r="P303" i="5" s="1"/>
  <c r="M157" i="4"/>
  <c r="P157" i="4" s="1"/>
  <c r="P268" i="4"/>
  <c r="I231" i="4"/>
  <c r="K231" i="4" s="1"/>
  <c r="O141" i="3"/>
  <c r="O61" i="4"/>
  <c r="O359" i="4"/>
  <c r="O358" i="1"/>
  <c r="M125" i="4"/>
  <c r="P125" i="4" s="1"/>
  <c r="M282" i="4"/>
  <c r="P282" i="4" s="1"/>
  <c r="P141" i="3"/>
  <c r="M72" i="4"/>
  <c r="P72" i="4" s="1"/>
  <c r="L377" i="4"/>
  <c r="O377" i="4" s="1"/>
  <c r="O379" i="3"/>
  <c r="O358" i="4"/>
  <c r="M139" i="4"/>
  <c r="P139" i="4" s="1"/>
  <c r="M94" i="4"/>
  <c r="P94" i="4" s="1"/>
  <c r="L266" i="4"/>
  <c r="O266" i="4" s="1"/>
  <c r="I70" i="3"/>
  <c r="K70" i="3" s="1"/>
  <c r="O322" i="3"/>
  <c r="L320" i="4"/>
  <c r="O320" i="4" s="1"/>
  <c r="N186" i="4"/>
  <c r="P186" i="4" s="1"/>
  <c r="P188" i="4"/>
  <c r="M303" i="4"/>
  <c r="P303" i="4" s="1"/>
  <c r="O188" i="3"/>
  <c r="K82" i="4"/>
  <c r="I70" i="4"/>
  <c r="K70" i="4" s="1"/>
  <c r="O323" i="3"/>
  <c r="L232" i="4"/>
  <c r="N59" i="4"/>
  <c r="O59" i="4" s="1"/>
  <c r="P74" i="1"/>
  <c r="P335" i="4"/>
  <c r="O335" i="4"/>
  <c r="P61" i="4"/>
  <c r="M59" i="4"/>
  <c r="O320" i="3"/>
  <c r="P322" i="3"/>
  <c r="M24" i="4"/>
  <c r="P24" i="4" s="1"/>
  <c r="O189" i="4"/>
  <c r="P189" i="4"/>
  <c r="O284" i="4"/>
  <c r="L282" i="4"/>
  <c r="O282" i="4" s="1"/>
  <c r="L94" i="3"/>
  <c r="O94" i="3" s="1"/>
  <c r="P44" i="4"/>
  <c r="P322" i="4"/>
  <c r="M320" i="4"/>
  <c r="P320" i="4" s="1"/>
  <c r="O141" i="4"/>
  <c r="L139" i="4"/>
  <c r="O139" i="4" s="1"/>
  <c r="M20" i="4"/>
  <c r="P23" i="4"/>
  <c r="M21" i="4"/>
  <c r="O159" i="4"/>
  <c r="L157" i="4"/>
  <c r="O157" i="4" s="1"/>
  <c r="O127" i="4"/>
  <c r="L125" i="4"/>
  <c r="O125" i="4" s="1"/>
  <c r="O23" i="4"/>
  <c r="L20" i="4"/>
  <c r="M173" i="4"/>
  <c r="P173" i="4" s="1"/>
  <c r="O175" i="4"/>
  <c r="L173" i="4"/>
  <c r="O173" i="4" s="1"/>
  <c r="N21" i="4"/>
  <c r="P46" i="4"/>
  <c r="O46" i="4"/>
  <c r="L21" i="4"/>
  <c r="O26" i="4"/>
  <c r="L24" i="4"/>
  <c r="O24" i="4" s="1"/>
  <c r="M356" i="4"/>
  <c r="P356" i="4" s="1"/>
  <c r="M333" i="4"/>
  <c r="P333" i="4" s="1"/>
  <c r="O44" i="4"/>
  <c r="O159" i="1"/>
  <c r="L24" i="3"/>
  <c r="O24" i="3" s="1"/>
  <c r="L303" i="2"/>
  <c r="O303" i="2" s="1"/>
  <c r="L266" i="1"/>
  <c r="O266" i="1" s="1"/>
  <c r="M282" i="3"/>
  <c r="P282" i="3" s="1"/>
  <c r="P189" i="3"/>
  <c r="K332" i="3"/>
  <c r="O62" i="3"/>
  <c r="M72" i="3"/>
  <c r="P72" i="3" s="1"/>
  <c r="L266" i="2"/>
  <c r="O266" i="2" s="1"/>
  <c r="O61" i="3"/>
  <c r="L186" i="3"/>
  <c r="O186" i="3" s="1"/>
  <c r="M320" i="3"/>
  <c r="P320" i="3" s="1"/>
  <c r="P358" i="3"/>
  <c r="M24" i="1"/>
  <c r="P24" i="1" s="1"/>
  <c r="O142" i="1"/>
  <c r="O284" i="2"/>
  <c r="N20" i="1"/>
  <c r="O377" i="2"/>
  <c r="P285" i="1"/>
  <c r="N24" i="1"/>
  <c r="O188" i="2"/>
  <c r="L303" i="3"/>
  <c r="O303" i="3" s="1"/>
  <c r="P335" i="3"/>
  <c r="P189" i="1"/>
  <c r="M173" i="3"/>
  <c r="P173" i="3" s="1"/>
  <c r="L59" i="3"/>
  <c r="O59" i="3" s="1"/>
  <c r="P142" i="3"/>
  <c r="N20" i="3"/>
  <c r="N18" i="3" s="1"/>
  <c r="I71" i="3"/>
  <c r="K71" i="3" s="1"/>
  <c r="K83" i="3"/>
  <c r="O175" i="3"/>
  <c r="L173" i="3"/>
  <c r="O173" i="3" s="1"/>
  <c r="O23" i="3"/>
  <c r="L20" i="3"/>
  <c r="L21" i="3"/>
  <c r="N40" i="3"/>
  <c r="M125" i="3"/>
  <c r="P125" i="3" s="1"/>
  <c r="L282" i="3"/>
  <c r="O282" i="3" s="1"/>
  <c r="O284" i="3"/>
  <c r="P44" i="3"/>
  <c r="M94" i="2"/>
  <c r="P94" i="2" s="1"/>
  <c r="L44" i="3"/>
  <c r="O46" i="3"/>
  <c r="M186" i="3"/>
  <c r="P186" i="3" s="1"/>
  <c r="P188" i="3"/>
  <c r="O142" i="3"/>
  <c r="N21" i="3"/>
  <c r="M139" i="3"/>
  <c r="P139" i="3" s="1"/>
  <c r="P356" i="3"/>
  <c r="N94" i="1"/>
  <c r="P379" i="2"/>
  <c r="L72" i="3"/>
  <c r="O72" i="3" s="1"/>
  <c r="O74" i="3"/>
  <c r="P19" i="3"/>
  <c r="P305" i="3"/>
  <c r="M303" i="3"/>
  <c r="P303" i="3" s="1"/>
  <c r="M24" i="3"/>
  <c r="P24" i="3" s="1"/>
  <c r="P379" i="3"/>
  <c r="M377" i="3"/>
  <c r="P377" i="3" s="1"/>
  <c r="O61" i="2"/>
  <c r="O379" i="2"/>
  <c r="M94" i="3"/>
  <c r="P94" i="3" s="1"/>
  <c r="P96" i="3"/>
  <c r="M59" i="3"/>
  <c r="P59" i="3" s="1"/>
  <c r="P61" i="3"/>
  <c r="O333" i="3"/>
  <c r="I231" i="3"/>
  <c r="L125" i="3"/>
  <c r="O125" i="3" s="1"/>
  <c r="P268" i="3"/>
  <c r="M266" i="3"/>
  <c r="P266" i="3" s="1"/>
  <c r="P46" i="3"/>
  <c r="L356" i="3"/>
  <c r="O356" i="3" s="1"/>
  <c r="O358" i="3"/>
  <c r="L232" i="3"/>
  <c r="O243" i="3"/>
  <c r="M139" i="2"/>
  <c r="P139" i="2" s="1"/>
  <c r="L20" i="1"/>
  <c r="P61" i="2"/>
  <c r="P188" i="2"/>
  <c r="O159" i="3"/>
  <c r="L157" i="3"/>
  <c r="O157" i="3" s="1"/>
  <c r="M20" i="3"/>
  <c r="P23" i="3"/>
  <c r="M21" i="3"/>
  <c r="O335" i="3"/>
  <c r="P333" i="3"/>
  <c r="L266" i="3"/>
  <c r="O266" i="3" s="1"/>
  <c r="O173" i="2"/>
  <c r="O160" i="1"/>
  <c r="P142" i="1"/>
  <c r="N44" i="1"/>
  <c r="O75" i="1"/>
  <c r="O222" i="1"/>
  <c r="M303" i="2"/>
  <c r="P303" i="2" s="1"/>
  <c r="O46" i="2"/>
  <c r="M125" i="2"/>
  <c r="P125" i="2" s="1"/>
  <c r="N186" i="1"/>
  <c r="O47" i="1"/>
  <c r="K83" i="2"/>
  <c r="I70" i="2"/>
  <c r="K70" i="2" s="1"/>
  <c r="P322" i="2"/>
  <c r="O175" i="2"/>
  <c r="P356" i="2"/>
  <c r="L139" i="1"/>
  <c r="M125" i="1"/>
  <c r="P125" i="1" s="1"/>
  <c r="O358" i="2"/>
  <c r="L157" i="2"/>
  <c r="O157" i="2" s="1"/>
  <c r="M72" i="1"/>
  <c r="L44" i="2"/>
  <c r="O44" i="2" s="1"/>
  <c r="L232" i="2"/>
  <c r="N266" i="1"/>
  <c r="P335" i="2"/>
  <c r="L72" i="2"/>
  <c r="O72" i="2" s="1"/>
  <c r="L356" i="2"/>
  <c r="O356" i="2" s="1"/>
  <c r="P25" i="1"/>
  <c r="O176" i="1"/>
  <c r="M186" i="2"/>
  <c r="P186" i="2" s="1"/>
  <c r="L125" i="2"/>
  <c r="O125" i="2" s="1"/>
  <c r="O176" i="2"/>
  <c r="O141" i="2"/>
  <c r="L139" i="2"/>
  <c r="O139" i="2" s="1"/>
  <c r="K71" i="1"/>
  <c r="L186" i="2"/>
  <c r="O186" i="2" s="1"/>
  <c r="O188" i="1"/>
  <c r="I231" i="2"/>
  <c r="K231" i="2" s="1"/>
  <c r="P358" i="1"/>
  <c r="O232" i="1"/>
  <c r="N40" i="2"/>
  <c r="N72" i="1"/>
  <c r="N59" i="1"/>
  <c r="P323" i="1"/>
  <c r="P358" i="2"/>
  <c r="L21" i="1"/>
  <c r="O203" i="1"/>
  <c r="M72" i="2"/>
  <c r="P72" i="2" s="1"/>
  <c r="P74" i="2"/>
  <c r="M20" i="2"/>
  <c r="M18" i="2" s="1"/>
  <c r="P23" i="2"/>
  <c r="M21" i="2"/>
  <c r="P21" i="2" s="1"/>
  <c r="M24" i="2"/>
  <c r="P24" i="2" s="1"/>
  <c r="P26" i="2"/>
  <c r="P62" i="1"/>
  <c r="P176" i="1"/>
  <c r="P126" i="1"/>
  <c r="L27" i="1"/>
  <c r="O27" i="1" s="1"/>
  <c r="O306" i="1"/>
  <c r="O322" i="2"/>
  <c r="O26" i="2"/>
  <c r="M157" i="2"/>
  <c r="P157" i="2" s="1"/>
  <c r="P159" i="2"/>
  <c r="L94" i="2"/>
  <c r="O94" i="2" s="1"/>
  <c r="O96" i="2"/>
  <c r="O189" i="1"/>
  <c r="M173" i="2"/>
  <c r="P173" i="2" s="1"/>
  <c r="P175" i="2"/>
  <c r="O320" i="2"/>
  <c r="P320" i="2"/>
  <c r="M333" i="2"/>
  <c r="P333" i="2" s="1"/>
  <c r="L125" i="1"/>
  <c r="O125" i="1" s="1"/>
  <c r="M303" i="1"/>
  <c r="P303" i="1" s="1"/>
  <c r="M21" i="1"/>
  <c r="L24" i="2"/>
  <c r="O24" i="2" s="1"/>
  <c r="P284" i="2"/>
  <c r="M282" i="2"/>
  <c r="P282" i="2" s="1"/>
  <c r="P19" i="2"/>
  <c r="N20" i="2"/>
  <c r="N18" i="2" s="1"/>
  <c r="P46" i="2"/>
  <c r="M44" i="2"/>
  <c r="L333" i="2"/>
  <c r="O333" i="2" s="1"/>
  <c r="O335" i="2"/>
  <c r="O23" i="2"/>
  <c r="L21" i="2"/>
  <c r="O21" i="2" s="1"/>
  <c r="L20" i="2"/>
  <c r="L59" i="2"/>
  <c r="O59" i="2" s="1"/>
  <c r="M59" i="2"/>
  <c r="P59" i="2" s="1"/>
  <c r="O336" i="1"/>
  <c r="L173" i="1"/>
  <c r="O173" i="1" s="1"/>
  <c r="P47" i="1"/>
  <c r="O359" i="1"/>
  <c r="P46" i="1"/>
  <c r="K83" i="1"/>
  <c r="O61" i="1"/>
  <c r="N282" i="1"/>
  <c r="P359" i="1"/>
  <c r="O305" i="1"/>
  <c r="P305" i="1"/>
  <c r="O46" i="1"/>
  <c r="O284" i="1"/>
  <c r="P284" i="1"/>
  <c r="P336" i="1"/>
  <c r="P61" i="1"/>
  <c r="O26" i="1"/>
  <c r="P23" i="1"/>
  <c r="P306" i="1"/>
  <c r="O335" i="1"/>
  <c r="O214" i="1"/>
  <c r="O285" i="1"/>
  <c r="N157" i="1"/>
  <c r="O62" i="1"/>
  <c r="M20" i="1"/>
  <c r="K332" i="1"/>
  <c r="P141" i="1"/>
  <c r="P174" i="1"/>
  <c r="M173" i="1"/>
  <c r="P173" i="1" s="1"/>
  <c r="P335" i="1"/>
  <c r="N333" i="1"/>
  <c r="M282" i="1"/>
  <c r="P282" i="1" s="1"/>
  <c r="N139" i="1"/>
  <c r="K82" i="1"/>
  <c r="I70" i="1"/>
  <c r="K70" i="1" s="1"/>
  <c r="P378" i="1"/>
  <c r="M377" i="1"/>
  <c r="P377" i="1" s="1"/>
  <c r="O304" i="1"/>
  <c r="L303" i="1"/>
  <c r="O303" i="1" s="1"/>
  <c r="M44" i="1"/>
  <c r="P45" i="1"/>
  <c r="M266" i="1"/>
  <c r="P266" i="1" s="1"/>
  <c r="P267" i="1"/>
  <c r="M59" i="1"/>
  <c r="P60" i="1"/>
  <c r="O60" i="1"/>
  <c r="L59" i="1"/>
  <c r="N21" i="1"/>
  <c r="N19" i="1"/>
  <c r="L157" i="1"/>
  <c r="O283" i="1"/>
  <c r="L282" i="1"/>
  <c r="L94" i="1"/>
  <c r="O94" i="1" s="1"/>
  <c r="O95" i="1"/>
  <c r="P28" i="1"/>
  <c r="M27" i="1"/>
  <c r="P27" i="1" s="1"/>
  <c r="P322" i="1"/>
  <c r="M320" i="1"/>
  <c r="P320" i="1" s="1"/>
  <c r="L24" i="1"/>
  <c r="O25" i="1"/>
  <c r="P188" i="1"/>
  <c r="O74" i="1"/>
  <c r="L72" i="1"/>
  <c r="M139" i="1"/>
  <c r="P140" i="1"/>
  <c r="O321" i="1"/>
  <c r="L320" i="1"/>
  <c r="O320" i="1" s="1"/>
  <c r="O45" i="1"/>
  <c r="L44" i="1"/>
  <c r="P159" i="1"/>
  <c r="M157" i="1"/>
  <c r="P157" i="1" s="1"/>
  <c r="O378" i="1"/>
  <c r="L377" i="1"/>
  <c r="M19" i="1"/>
  <c r="P357" i="1"/>
  <c r="M356" i="1"/>
  <c r="O187" i="1"/>
  <c r="L186" i="1"/>
  <c r="L333" i="1"/>
  <c r="O334" i="1"/>
  <c r="P96" i="1"/>
  <c r="M94" i="1"/>
  <c r="P94" i="1" s="1"/>
  <c r="L19" i="1"/>
  <c r="L356" i="1"/>
  <c r="O357" i="1"/>
  <c r="P334" i="1"/>
  <c r="M333" i="1"/>
  <c r="M186" i="1"/>
  <c r="O23" i="1"/>
  <c r="N40" i="12" l="1"/>
  <c r="N40" i="15"/>
  <c r="O44" i="15"/>
  <c r="L40" i="15"/>
  <c r="P44" i="15"/>
  <c r="M40" i="15"/>
  <c r="O139" i="15"/>
  <c r="O20" i="15"/>
  <c r="L18" i="15"/>
  <c r="O18" i="15" s="1"/>
  <c r="P20" i="15"/>
  <c r="M18" i="15"/>
  <c r="P18" i="15" s="1"/>
  <c r="K231" i="15"/>
  <c r="I185" i="15"/>
  <c r="K185" i="15" s="1"/>
  <c r="O44" i="14"/>
  <c r="L40" i="14"/>
  <c r="O40" i="14" s="1"/>
  <c r="M40" i="14"/>
  <c r="P40" i="14" s="1"/>
  <c r="P20" i="14"/>
  <c r="M18" i="14"/>
  <c r="P18" i="14" s="1"/>
  <c r="O20" i="14"/>
  <c r="L18" i="14"/>
  <c r="O18" i="14" s="1"/>
  <c r="K231" i="14"/>
  <c r="I185" i="14"/>
  <c r="K185" i="14" s="1"/>
  <c r="P320" i="13"/>
  <c r="P333" i="13"/>
  <c r="O139" i="13"/>
  <c r="N40" i="13"/>
  <c r="P21" i="13"/>
  <c r="O21" i="11"/>
  <c r="O20" i="13"/>
  <c r="I185" i="10"/>
  <c r="K185" i="10" s="1"/>
  <c r="O44" i="13"/>
  <c r="L40" i="13"/>
  <c r="O40" i="13" s="1"/>
  <c r="P44" i="13"/>
  <c r="M40" i="13"/>
  <c r="P20" i="13"/>
  <c r="M18" i="13"/>
  <c r="P18" i="13" s="1"/>
  <c r="P356" i="13"/>
  <c r="O356" i="1"/>
  <c r="K231" i="13"/>
  <c r="I185" i="13"/>
  <c r="K185" i="13" s="1"/>
  <c r="L18" i="13"/>
  <c r="O18" i="13" s="1"/>
  <c r="P356" i="1"/>
  <c r="P20" i="11"/>
  <c r="O20" i="11"/>
  <c r="P139" i="12"/>
  <c r="O20" i="12"/>
  <c r="L18" i="12"/>
  <c r="O18" i="12" s="1"/>
  <c r="P21" i="12"/>
  <c r="O72" i="12"/>
  <c r="L40" i="12"/>
  <c r="P20" i="12"/>
  <c r="M18" i="12"/>
  <c r="P18" i="12" s="1"/>
  <c r="M40" i="12"/>
  <c r="L18" i="11"/>
  <c r="O18" i="11" s="1"/>
  <c r="M18" i="11"/>
  <c r="P18" i="11" s="1"/>
  <c r="K231" i="11"/>
  <c r="I185" i="11"/>
  <c r="K185" i="11" s="1"/>
  <c r="O44" i="11"/>
  <c r="L40" i="11"/>
  <c r="O40" i="11" s="1"/>
  <c r="M40" i="11"/>
  <c r="P40" i="11" s="1"/>
  <c r="L40" i="10"/>
  <c r="O40" i="10" s="1"/>
  <c r="O20" i="10"/>
  <c r="L18" i="10"/>
  <c r="O18" i="10" s="1"/>
  <c r="P21" i="9"/>
  <c r="P18" i="10"/>
  <c r="P44" i="10"/>
  <c r="M40" i="10"/>
  <c r="P40" i="10" s="1"/>
  <c r="P20" i="10"/>
  <c r="O377" i="1"/>
  <c r="P20" i="8"/>
  <c r="O20" i="9"/>
  <c r="L18" i="9"/>
  <c r="O18" i="9" s="1"/>
  <c r="K231" i="9"/>
  <c r="I185" i="9"/>
  <c r="K185" i="9" s="1"/>
  <c r="P44" i="9"/>
  <c r="M40" i="9"/>
  <c r="P40" i="9" s="1"/>
  <c r="O21" i="9"/>
  <c r="L40" i="9"/>
  <c r="O40" i="9" s="1"/>
  <c r="P20" i="9"/>
  <c r="M18" i="9"/>
  <c r="P18" i="9" s="1"/>
  <c r="M18" i="8"/>
  <c r="P18" i="8" s="1"/>
  <c r="L40" i="8"/>
  <c r="O40" i="8" s="1"/>
  <c r="P44" i="8"/>
  <c r="M40" i="8"/>
  <c r="P40" i="8" s="1"/>
  <c r="O20" i="8"/>
  <c r="L18" i="8"/>
  <c r="O18" i="8" s="1"/>
  <c r="K231" i="8"/>
  <c r="I185" i="8"/>
  <c r="K185" i="8" s="1"/>
  <c r="O333" i="7"/>
  <c r="N40" i="7"/>
  <c r="O21" i="7"/>
  <c r="M40" i="7"/>
  <c r="O44" i="7"/>
  <c r="L40" i="7"/>
  <c r="O20" i="7"/>
  <c r="L18" i="7"/>
  <c r="O18" i="7" s="1"/>
  <c r="P20" i="7"/>
  <c r="M18" i="7"/>
  <c r="P18" i="7" s="1"/>
  <c r="K231" i="7"/>
  <c r="I185" i="7"/>
  <c r="K185" i="7" s="1"/>
  <c r="O21" i="6"/>
  <c r="M18" i="6"/>
  <c r="P18" i="6" s="1"/>
  <c r="O20" i="6"/>
  <c r="L18" i="6"/>
  <c r="O18" i="6" s="1"/>
  <c r="P44" i="6"/>
  <c r="M40" i="6"/>
  <c r="I185" i="4"/>
  <c r="K185" i="4" s="1"/>
  <c r="L40" i="6"/>
  <c r="N40" i="6"/>
  <c r="O333" i="6"/>
  <c r="N40" i="5"/>
  <c r="O139" i="5"/>
  <c r="O186" i="4"/>
  <c r="M40" i="5"/>
  <c r="L40" i="5"/>
  <c r="O20" i="5"/>
  <c r="L18" i="5"/>
  <c r="O18" i="5" s="1"/>
  <c r="N40" i="4"/>
  <c r="P20" i="5"/>
  <c r="M18" i="5"/>
  <c r="P18" i="5" s="1"/>
  <c r="P59" i="4"/>
  <c r="O20" i="4"/>
  <c r="L18" i="4"/>
  <c r="O18" i="4" s="1"/>
  <c r="O24" i="1"/>
  <c r="P21" i="4"/>
  <c r="M40" i="4"/>
  <c r="L40" i="4"/>
  <c r="P20" i="4"/>
  <c r="M18" i="4"/>
  <c r="P18" i="4" s="1"/>
  <c r="O21" i="4"/>
  <c r="P20" i="1"/>
  <c r="P72" i="1"/>
  <c r="N18" i="1"/>
  <c r="O20" i="1"/>
  <c r="P20" i="3"/>
  <c r="M40" i="3"/>
  <c r="P40" i="3" s="1"/>
  <c r="O21" i="3"/>
  <c r="O20" i="3"/>
  <c r="L18" i="3"/>
  <c r="O18" i="3" s="1"/>
  <c r="K231" i="3"/>
  <c r="I185" i="3"/>
  <c r="K185" i="3" s="1"/>
  <c r="P21" i="3"/>
  <c r="O139" i="1"/>
  <c r="M18" i="3"/>
  <c r="P18" i="3" s="1"/>
  <c r="O44" i="3"/>
  <c r="L40" i="3"/>
  <c r="O40" i="3" s="1"/>
  <c r="O186" i="1"/>
  <c r="P186" i="1"/>
  <c r="I185" i="2"/>
  <c r="K185" i="2" s="1"/>
  <c r="O333" i="1"/>
  <c r="O59" i="1"/>
  <c r="O72" i="1"/>
  <c r="O157" i="1"/>
  <c r="P59" i="1"/>
  <c r="P18" i="2"/>
  <c r="O282" i="1"/>
  <c r="P44" i="2"/>
  <c r="M40" i="2"/>
  <c r="P40" i="2" s="1"/>
  <c r="L40" i="2"/>
  <c r="O40" i="2" s="1"/>
  <c r="P20" i="2"/>
  <c r="O21" i="1"/>
  <c r="P333" i="1"/>
  <c r="O20" i="2"/>
  <c r="L18" i="2"/>
  <c r="O18" i="2" s="1"/>
  <c r="P139" i="1"/>
  <c r="N40" i="1"/>
  <c r="P19" i="1"/>
  <c r="M18" i="1"/>
  <c r="P21" i="1"/>
  <c r="M40" i="1"/>
  <c r="P44" i="1"/>
  <c r="L18" i="1"/>
  <c r="O19" i="1"/>
  <c r="L40" i="1"/>
  <c r="O44" i="1"/>
  <c r="P40" i="12" l="1"/>
  <c r="O40" i="12"/>
  <c r="O40" i="15"/>
  <c r="P40" i="15"/>
  <c r="P40" i="13"/>
  <c r="O40" i="7"/>
  <c r="P40" i="7"/>
  <c r="O40" i="6"/>
  <c r="P40" i="6"/>
  <c r="O40" i="4"/>
  <c r="O40" i="5"/>
  <c r="P40" i="5"/>
  <c r="P40" i="4"/>
  <c r="O18" i="1"/>
  <c r="P18" i="1"/>
  <c r="P40" i="1"/>
  <c r="O40" i="1"/>
</calcChain>
</file>

<file path=xl/sharedStrings.xml><?xml version="1.0" encoding="utf-8"?>
<sst xmlns="http://schemas.openxmlformats.org/spreadsheetml/2006/main" count="10031" uniqueCount="176">
  <si>
    <t>รายละเอียดแผนงาน/โครงการ ผลผลิต/กิจกรรม ปีงบประมาณ พ.ศ. 2567</t>
  </si>
  <si>
    <t>รวมภาคใต้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</si>
  <si>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</si>
  <si>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</si>
  <si>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</si>
  <si>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</si>
  <si>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</si>
  <si>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</si>
  <si>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</si>
  <si>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</si>
  <si>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</si>
  <si>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</si>
  <si>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</si>
  <si>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</si>
  <si>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</si>
  <si>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</si>
  <si>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</si>
  <si>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</si>
  <si>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</si>
  <si>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</si>
  <si>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</si>
  <si>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</si>
  <si>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</si>
  <si>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</si>
  <si>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</si>
  <si>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</si>
  <si>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</si>
  <si>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</si>
  <si>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</si>
  <si>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</si>
  <si>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</si>
  <si>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</si>
  <si>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</si>
  <si>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</si>
  <si>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</si>
  <si>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</si>
  <si>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</si>
  <si>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</si>
  <si>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</si>
  <si>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</si>
  <si>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</si>
  <si>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</si>
  <si>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</si>
  <si>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</si>
  <si>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</si>
  <si>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</si>
  <si>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</si>
  <si>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</si>
  <si>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</si>
  <si>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</si>
  <si>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</si>
  <si>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</si>
  <si>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</si>
  <si>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</si>
  <si>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</si>
  <si>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</si>
  <si>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</si>
  <si>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</si>
  <si>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</si>
  <si>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</si>
  <si>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</si>
  <si>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</si>
  <si>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</si>
  <si>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</si>
  <si>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</si>
  <si>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</si>
  <si>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</si>
  <si>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</si>
  <si>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</si>
  <si>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</si>
  <si>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</si>
  <si>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</si>
  <si>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</si>
  <si>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</si>
  <si>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</si>
  <si>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</si>
  <si>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</si>
  <si>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</si>
  <si>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</si>
  <si>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</si>
  <si>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</si>
  <si>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</si>
  <si>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</si>
  <si>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</si>
  <si>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</si>
  <si>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</si>
  <si>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</si>
  <si>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</si>
  <si>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</si>
  <si>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</si>
  <si>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</si>
  <si>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</si>
  <si>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</si>
  <si>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</si>
  <si>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</si>
  <si>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</si>
  <si>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</si>
  <si>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</si>
  <si>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</si>
  <si>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</si>
  <si>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</si>
  <si>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</si>
  <si>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</si>
  <si>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</si>
  <si>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</si>
  <si>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</si>
  <si>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</si>
  <si>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</si>
  <si>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</si>
  <si>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</si>
  <si>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</si>
  <si>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</si>
  <si>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</si>
  <si>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</si>
  <si>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</si>
  <si>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</si>
  <si>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</si>
  <si>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</si>
  <si>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</si>
  <si>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</si>
  <si>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</si>
  <si>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</si>
  <si>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</si>
  <si>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</si>
  <si>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</si>
  <si>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</si>
  <si>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</si>
  <si>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</si>
  <si>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</si>
  <si>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</si>
  <si>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</si>
  <si>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</si>
  <si>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</si>
  <si>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</si>
  <si>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</si>
  <si>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</si>
  <si>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</si>
  <si>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</si>
  <si>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</si>
  <si>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</si>
  <si>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</si>
  <si>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</si>
  <si>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</si>
  <si>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</si>
  <si>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</si>
  <si>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</si>
  <si>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</si>
  <si>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</si>
  <si>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</si>
  <si>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</si>
  <si>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</si>
  <si>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</si>
  <si>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</si>
  <si>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</si>
  <si>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</si>
  <si>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t>- ค่าใช้จ่ายในการปฏิบัติงาน</t>
  </si>
  <si>
    <t>- ค่าใช้จ่ายในการบริหารงาน</t>
  </si>
  <si>
    <t>- งบบริหารโครงการ</t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</si>
  <si>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</si>
  <si>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</si>
  <si>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t>สำนักงานการปฏิรูปที่ดินจังหวัด กระบี่</t>
  </si>
  <si>
    <t>สำนักงานการปฏิรูปที่ดินจังหวัด ชุมพร</t>
  </si>
  <si>
    <t>สำนักงานการปฏิรูปที่ดินจังหวัด ตรัง</t>
  </si>
  <si>
    <t>(5) โครงการพัฒนาพื้นที่ลุ่มน้ำปากพนัง</t>
  </si>
  <si>
    <t>สำนักงานการปฏิรูปที่ดินจังหวัด นครศรีธรรมราช</t>
  </si>
  <si>
    <t>สำนักงานการปฏิรูปที่ดินจังหวัด นราธิวาส</t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</si>
  <si>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</si>
  <si>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</si>
  <si>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</si>
  <si>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t>สำนักงานการปฏิรูปที่ดินจังหวัด ภูเก็ต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</si>
  <si>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</si>
  <si>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</si>
  <si>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</si>
  <si>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</si>
  <si>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</si>
  <si>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t>ข้อมูล ณ วันที่ 28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</si>
</sst>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</numFmts>
  <fonts count="42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rgb="FF000000"/>
      <name val="Arial"/>
    </font>
    <font>
      <sz val="1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sz val="15"/>
      <color rgb="FFFF0000"/>
      <name val="Arial"/>
    </font>
    <font>
      <b/>
      <sz val="15"/>
      <color rgb="FFFF0000"/>
      <name val="Arial"/>
    </font>
    <font>
      <sz val="14"/>
      <color rgb="FFFF0000"/>
      <name val="Arial"/>
    </font>
    <font>
      <sz val="13"/>
      <color rgb="FFFF0000"/>
      <name val="Arial"/>
    </font>
    <font>
      <i/>
      <sz val="15"/>
      <color rgb="FFFF0000"/>
      <name val="Arial"/>
    </font>
    <font>
      <b/>
      <u/>
      <sz val="15"/>
      <color rgb="FF000000"/>
      <name val="Arial"/>
    </font>
    <font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b/>
      <sz val="15"/>
      <color rgb="FFFFFFFF"/>
      <name val="Arial"/>
    </font>
    <font>
      <sz val="10"/>
      <color rgb="FFFFFFFF"/>
      <name val="Arial"/>
    </font>
    <font>
      <b/>
      <sz val="15"/>
      <color theme="1"/>
      <name val="Arial"/>
    </font>
    <font>
      <sz val="10"/>
      <color theme="1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sz val="13"/>
      <color rgb="FF000000"/>
      <name val="Arial"/>
    </font>
    <font>
      <i/>
      <sz val="15"/>
      <color rgb="FF000000"/>
      <name val="Arial"/>
    </font>
    <font>
      <i/>
      <sz val="13"/>
      <color rgb="FF000000"/>
      <name val="Arial"/>
    </font>
    <font>
      <sz val="10"/>
      <color rgb="FF000000"/>
      <name val="Arial"/>
      <scheme val="minor"/>
    </font>
    <font>
      <i/>
      <sz val="13"/>
      <color rgb="FF000000"/>
      <name val="Arial"/>
      <scheme val="minor"/>
    </font>
    <font>
      <u/>
      <sz val="15"/>
      <color theme="1"/>
      <name val="Arial"/>
    </font>
    <font>
      <u/>
      <sz val="15"/>
      <color rgb="FFFF0000"/>
      <name val="Arial"/>
    </font>
    <font>
      <sz val="10"/>
      <color theme="1"/>
      <name val="Arial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3">
    <xf numFmtId="0" fontId="0" fillId="0" borderId="0" xfId="0" applyFont="1" applyAlignment="1"/>
    <xf numFmtId="0" fontId="2" fillId="2" borderId="0" xfId="0" applyFont="1" applyFill="1" applyAlignment="1"/>
    <xf numFmtId="187" fontId="2" fillId="2" borderId="0" xfId="0" applyNumberFormat="1" applyFont="1" applyFill="1" applyAlignment="1"/>
    <xf numFmtId="188" fontId="2" fillId="2" borderId="0" xfId="0" applyNumberFormat="1" applyFont="1" applyFill="1" applyAlignment="1"/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88" fontId="1" fillId="4" borderId="12" xfId="0" applyNumberFormat="1" applyFont="1" applyFill="1" applyBorder="1" applyAlignment="1">
      <alignment horizontal="center"/>
    </xf>
    <xf numFmtId="187" fontId="1" fillId="4" borderId="12" xfId="0" applyNumberFormat="1" applyFont="1" applyFill="1" applyBorder="1" applyAlignment="1">
      <alignment horizontal="center" wrapText="1"/>
    </xf>
    <xf numFmtId="188" fontId="1" fillId="5" borderId="12" xfId="0" applyNumberFormat="1" applyFont="1" applyFill="1" applyBorder="1" applyAlignment="1">
      <alignment horizontal="center" wrapText="1"/>
    </xf>
    <xf numFmtId="188" fontId="1" fillId="7" borderId="12" xfId="0" applyNumberFormat="1" applyFont="1" applyFill="1" applyBorder="1" applyAlignment="1">
      <alignment horizontal="center" wrapText="1"/>
    </xf>
    <xf numFmtId="188" fontId="1" fillId="6" borderId="12" xfId="0" applyNumberFormat="1" applyFont="1" applyFill="1" applyBorder="1" applyAlignment="1">
      <alignment horizontal="center"/>
    </xf>
    <xf numFmtId="188" fontId="1" fillId="5" borderId="12" xfId="0" applyNumberFormat="1" applyFont="1" applyFill="1" applyBorder="1" applyAlignment="1">
      <alignment horizontal="center"/>
    </xf>
    <xf numFmtId="188" fontId="1" fillId="7" borderId="12" xfId="0" applyNumberFormat="1" applyFont="1" applyFill="1" applyBorder="1" applyAlignment="1">
      <alignment horizontal="center"/>
    </xf>
    <xf numFmtId="0" fontId="2" fillId="8" borderId="12" xfId="0" applyFont="1" applyFill="1" applyBorder="1" applyAlignment="1"/>
    <xf numFmtId="189" fontId="2" fillId="8" borderId="12" xfId="0" applyNumberFormat="1" applyFont="1" applyFill="1" applyBorder="1" applyAlignment="1"/>
    <xf numFmtId="188" fontId="2" fillId="8" borderId="12" xfId="0" applyNumberFormat="1" applyFont="1" applyFill="1" applyBorder="1" applyAlignment="1"/>
    <xf numFmtId="0" fontId="2" fillId="8" borderId="13" xfId="0" applyFont="1" applyFill="1" applyBorder="1" applyAlignment="1"/>
    <xf numFmtId="0" fontId="2" fillId="8" borderId="14" xfId="0" applyFont="1" applyFill="1" applyBorder="1" applyAlignment="1"/>
    <xf numFmtId="0" fontId="1" fillId="8" borderId="14" xfId="0" applyFont="1" applyFill="1" applyBorder="1" applyAlignment="1"/>
    <xf numFmtId="0" fontId="4" fillId="8" borderId="14" xfId="0" applyFont="1" applyFill="1" applyBorder="1" applyAlignment="1"/>
    <xf numFmtId="0" fontId="2" fillId="8" borderId="15" xfId="0" applyFont="1" applyFill="1" applyBorder="1" applyAlignment="1"/>
    <xf numFmtId="0" fontId="1" fillId="8" borderId="15" xfId="0" applyFont="1" applyFill="1" applyBorder="1" applyAlignment="1">
      <alignment horizontal="center"/>
    </xf>
    <xf numFmtId="189" fontId="2" fillId="8" borderId="15" xfId="0" applyNumberFormat="1" applyFont="1" applyFill="1" applyBorder="1" applyAlignment="1"/>
    <xf numFmtId="188" fontId="2" fillId="8" borderId="15" xfId="0" applyNumberFormat="1" applyFont="1" applyFill="1" applyBorder="1" applyAlignment="1"/>
    <xf numFmtId="188" fontId="1" fillId="8" borderId="15" xfId="0" applyNumberFormat="1" applyFont="1" applyFill="1" applyBorder="1" applyAlignment="1">
      <alignment horizontal="right"/>
    </xf>
    <xf numFmtId="0" fontId="5" fillId="8" borderId="14" xfId="0" applyFont="1" applyFill="1" applyBorder="1" applyAlignment="1"/>
    <xf numFmtId="0" fontId="5" fillId="8" borderId="15" xfId="0" applyFont="1" applyFill="1" applyBorder="1" applyAlignment="1">
      <alignment horizontal="center"/>
    </xf>
    <xf numFmtId="188" fontId="5" fillId="8" borderId="15" xfId="0" applyNumberFormat="1" applyFont="1" applyFill="1" applyBorder="1" applyAlignment="1">
      <alignment horizontal="right"/>
    </xf>
    <xf numFmtId="0" fontId="6" fillId="8" borderId="14" xfId="0" applyFont="1" applyFill="1" applyBorder="1" applyAlignment="1"/>
    <xf numFmtId="0" fontId="2" fillId="8" borderId="8" xfId="0" applyFont="1" applyFill="1" applyBorder="1" applyAlignment="1"/>
    <xf numFmtId="0" fontId="2" fillId="8" borderId="9" xfId="0" applyFont="1" applyFill="1" applyBorder="1" applyAlignment="1"/>
    <xf numFmtId="0" fontId="5" fillId="8" borderId="9" xfId="0" applyFont="1" applyFill="1" applyBorder="1" applyAlignment="1"/>
    <xf numFmtId="0" fontId="2" fillId="8" borderId="10" xfId="0" applyFont="1" applyFill="1" applyBorder="1" applyAlignment="1"/>
    <xf numFmtId="0" fontId="5" fillId="8" borderId="10" xfId="0" applyFont="1" applyFill="1" applyBorder="1" applyAlignment="1">
      <alignment horizontal="center"/>
    </xf>
    <xf numFmtId="189" fontId="2" fillId="8" borderId="10" xfId="0" applyNumberFormat="1" applyFont="1" applyFill="1" applyBorder="1" applyAlignment="1"/>
    <xf numFmtId="188" fontId="2" fillId="8" borderId="10" xfId="0" applyNumberFormat="1" applyFont="1" applyFill="1" applyBorder="1" applyAlignment="1"/>
    <xf numFmtId="188" fontId="5" fillId="8" borderId="10" xfId="0" applyNumberFormat="1" applyFont="1" applyFill="1" applyBorder="1" applyAlignment="1">
      <alignment horizontal="right"/>
    </xf>
    <xf numFmtId="0" fontId="2" fillId="9" borderId="10" xfId="0" applyFont="1" applyFill="1" applyBorder="1" applyAlignment="1"/>
    <xf numFmtId="189" fontId="2" fillId="9" borderId="10" xfId="0" applyNumberFormat="1" applyFont="1" applyFill="1" applyBorder="1" applyAlignment="1"/>
    <xf numFmtId="188" fontId="2" fillId="9" borderId="10" xfId="0" applyNumberFormat="1" applyFont="1" applyFill="1" applyBorder="1" applyAlignment="1"/>
    <xf numFmtId="0" fontId="2" fillId="10" borderId="13" xfId="0" applyFont="1" applyFill="1" applyBorder="1" applyAlignment="1"/>
    <xf numFmtId="0" fontId="2" fillId="10" borderId="14" xfId="0" applyFont="1" applyFill="1" applyBorder="1" applyAlignment="1"/>
    <xf numFmtId="0" fontId="1" fillId="10" borderId="14" xfId="0" applyFont="1" applyFill="1" applyBorder="1" applyAlignment="1"/>
    <xf numFmtId="0" fontId="7" fillId="10" borderId="14" xfId="0" applyFont="1" applyFill="1" applyBorder="1" applyAlignment="1"/>
    <xf numFmtId="0" fontId="2" fillId="10" borderId="15" xfId="0" applyFont="1" applyFill="1" applyBorder="1" applyAlignment="1"/>
    <xf numFmtId="0" fontId="1" fillId="10" borderId="15" xfId="0" applyFont="1" applyFill="1" applyBorder="1" applyAlignment="1">
      <alignment horizontal="center"/>
    </xf>
    <xf numFmtId="189" fontId="2" fillId="10" borderId="15" xfId="0" applyNumberFormat="1" applyFont="1" applyFill="1" applyBorder="1" applyAlignment="1"/>
    <xf numFmtId="188" fontId="2" fillId="10" borderId="15" xfId="0" applyNumberFormat="1" applyFont="1" applyFill="1" applyBorder="1" applyAlignment="1"/>
    <xf numFmtId="188" fontId="1" fillId="10" borderId="15" xfId="0" applyNumberFormat="1" applyFont="1" applyFill="1" applyBorder="1" applyAlignment="1">
      <alignment horizontal="right"/>
    </xf>
    <xf numFmtId="0" fontId="5" fillId="10" borderId="14" xfId="0" applyFont="1" applyFill="1" applyBorder="1" applyAlignment="1"/>
    <xf numFmtId="0" fontId="5" fillId="10" borderId="15" xfId="0" applyFont="1" applyFill="1" applyBorder="1" applyAlignment="1">
      <alignment horizontal="center"/>
    </xf>
    <xf numFmtId="188" fontId="5" fillId="10" borderId="15" xfId="0" applyNumberFormat="1" applyFont="1" applyFill="1" applyBorder="1" applyAlignment="1">
      <alignment horizontal="right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8" fillId="2" borderId="14" xfId="0" applyFont="1" applyFill="1" applyBorder="1" applyAlignment="1"/>
    <xf numFmtId="0" fontId="2" fillId="2" borderId="15" xfId="0" applyFont="1" applyFill="1" applyBorder="1" applyAlignment="1"/>
    <xf numFmtId="0" fontId="5" fillId="2" borderId="15" xfId="0" applyFont="1" applyFill="1" applyBorder="1" applyAlignment="1">
      <alignment horizontal="center"/>
    </xf>
    <xf numFmtId="189" fontId="2" fillId="2" borderId="15" xfId="0" applyNumberFormat="1" applyFont="1" applyFill="1" applyBorder="1" applyAlignment="1"/>
    <xf numFmtId="188" fontId="2" fillId="2" borderId="15" xfId="0" applyNumberFormat="1" applyFont="1" applyFill="1" applyBorder="1" applyAlignment="1"/>
    <xf numFmtId="188" fontId="5" fillId="2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/>
    <xf numFmtId="188" fontId="5" fillId="2" borderId="15" xfId="0" applyNumberFormat="1" applyFont="1" applyFill="1" applyBorder="1" applyAlignment="1">
      <alignment horizontal="right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9" fillId="2" borderId="17" xfId="0" applyFont="1" applyFill="1" applyBorder="1" applyAlignment="1"/>
    <xf numFmtId="0" fontId="2" fillId="2" borderId="18" xfId="0" applyFont="1" applyFill="1" applyBorder="1" applyAlignment="1"/>
    <xf numFmtId="0" fontId="5" fillId="2" borderId="18" xfId="0" applyFont="1" applyFill="1" applyBorder="1" applyAlignment="1">
      <alignment horizontal="center"/>
    </xf>
    <xf numFmtId="189" fontId="2" fillId="2" borderId="18" xfId="0" applyNumberFormat="1" applyFont="1" applyFill="1" applyBorder="1" applyAlignment="1"/>
    <xf numFmtId="188" fontId="2" fillId="2" borderId="18" xfId="0" applyNumberFormat="1" applyFont="1" applyFill="1" applyBorder="1" applyAlignment="1"/>
    <xf numFmtId="188" fontId="5" fillId="2" borderId="18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5" fillId="2" borderId="9" xfId="0" applyFont="1" applyFill="1" applyBorder="1" applyAlignment="1"/>
    <xf numFmtId="0" fontId="2" fillId="2" borderId="10" xfId="0" applyFont="1" applyFill="1" applyBorder="1" applyAlignment="1"/>
    <xf numFmtId="0" fontId="5" fillId="2" borderId="10" xfId="0" applyFont="1" applyFill="1" applyBorder="1" applyAlignment="1">
      <alignment horizontal="center"/>
    </xf>
    <xf numFmtId="189" fontId="2" fillId="2" borderId="10" xfId="0" applyNumberFormat="1" applyFont="1" applyFill="1" applyBorder="1" applyAlignment="1"/>
    <xf numFmtId="188" fontId="2" fillId="2" borderId="10" xfId="0" applyNumberFormat="1" applyFont="1" applyFill="1" applyBorder="1" applyAlignment="1"/>
    <xf numFmtId="188" fontId="5" fillId="2" borderId="10" xfId="0" applyNumberFormat="1" applyFont="1" applyFill="1" applyBorder="1" applyAlignment="1">
      <alignment horizontal="right"/>
    </xf>
    <xf numFmtId="0" fontId="1" fillId="11" borderId="19" xfId="0" applyFont="1" applyFill="1" applyBorder="1" applyAlignment="1"/>
    <xf numFmtId="0" fontId="2" fillId="11" borderId="0" xfId="0" applyFont="1" applyFill="1" applyAlignment="1"/>
    <xf numFmtId="0" fontId="2" fillId="11" borderId="20" xfId="0" applyFont="1" applyFill="1" applyBorder="1" applyAlignment="1"/>
    <xf numFmtId="189" fontId="2" fillId="11" borderId="20" xfId="0" applyNumberFormat="1" applyFont="1" applyFill="1" applyBorder="1" applyAlignment="1"/>
    <xf numFmtId="188" fontId="2" fillId="11" borderId="20" xfId="0" applyNumberFormat="1" applyFont="1" applyFill="1" applyBorder="1" applyAlignment="1"/>
    <xf numFmtId="188" fontId="1" fillId="11" borderId="20" xfId="0" applyNumberFormat="1" applyFont="1" applyFill="1" applyBorder="1" applyAlignment="1">
      <alignment horizontal="right"/>
    </xf>
    <xf numFmtId="0" fontId="1" fillId="12" borderId="5" xfId="0" applyFont="1" applyFill="1" applyBorder="1" applyAlignment="1"/>
    <xf numFmtId="0" fontId="2" fillId="12" borderId="6" xfId="0" applyFont="1" applyFill="1" applyBorder="1" applyAlignment="1"/>
    <xf numFmtId="189" fontId="2" fillId="12" borderId="6" xfId="0" applyNumberFormat="1" applyFont="1" applyFill="1" applyBorder="1" applyAlignment="1"/>
    <xf numFmtId="188" fontId="2" fillId="12" borderId="6" xfId="0" applyNumberFormat="1" applyFont="1" applyFill="1" applyBorder="1" applyAlignment="1"/>
    <xf numFmtId="188" fontId="2" fillId="12" borderId="7" xfId="0" applyNumberFormat="1" applyFont="1" applyFill="1" applyBorder="1" applyAlignment="1"/>
    <xf numFmtId="0" fontId="2" fillId="13" borderId="14" xfId="0" applyFont="1" applyFill="1" applyBorder="1" applyAlignment="1"/>
    <xf numFmtId="0" fontId="1" fillId="13" borderId="14" xfId="0" applyFont="1" applyFill="1" applyBorder="1" applyAlignment="1"/>
    <xf numFmtId="0" fontId="2" fillId="13" borderId="21" xfId="0" applyFont="1" applyFill="1" applyBorder="1" applyAlignment="1"/>
    <xf numFmtId="189" fontId="2" fillId="13" borderId="21" xfId="0" applyNumberFormat="1" applyFont="1" applyFill="1" applyBorder="1" applyAlignment="1"/>
    <xf numFmtId="188" fontId="2" fillId="13" borderId="21" xfId="0" applyNumberFormat="1" applyFont="1" applyFill="1" applyBorder="1" applyAlignment="1"/>
    <xf numFmtId="0" fontId="2" fillId="14" borderId="13" xfId="0" applyFont="1" applyFill="1" applyBorder="1" applyAlignment="1"/>
    <xf numFmtId="0" fontId="2" fillId="14" borderId="14" xfId="0" applyFont="1" applyFill="1" applyBorder="1" applyAlignment="1"/>
    <xf numFmtId="0" fontId="1" fillId="14" borderId="14" xfId="0" applyFont="1" applyFill="1" applyBorder="1" applyAlignment="1"/>
    <xf numFmtId="0" fontId="10" fillId="14" borderId="14" xfId="0" applyFont="1" applyFill="1" applyBorder="1" applyAlignment="1"/>
    <xf numFmtId="0" fontId="2" fillId="14" borderId="15" xfId="0" applyFont="1" applyFill="1" applyBorder="1" applyAlignment="1"/>
    <xf numFmtId="0" fontId="1" fillId="14" borderId="15" xfId="0" applyFont="1" applyFill="1" applyBorder="1" applyAlignment="1">
      <alignment horizontal="center"/>
    </xf>
    <xf numFmtId="189" fontId="2" fillId="14" borderId="15" xfId="0" applyNumberFormat="1" applyFont="1" applyFill="1" applyBorder="1" applyAlignment="1"/>
    <xf numFmtId="188" fontId="2" fillId="14" borderId="15" xfId="0" applyNumberFormat="1" applyFont="1" applyFill="1" applyBorder="1" applyAlignment="1"/>
    <xf numFmtId="188" fontId="1" fillId="14" borderId="15" xfId="0" applyNumberFormat="1" applyFont="1" applyFill="1" applyBorder="1" applyAlignment="1">
      <alignment horizontal="right"/>
    </xf>
    <xf numFmtId="0" fontId="5" fillId="14" borderId="14" xfId="0" applyFont="1" applyFill="1" applyBorder="1" applyAlignment="1"/>
    <xf numFmtId="0" fontId="5" fillId="14" borderId="15" xfId="0" applyFont="1" applyFill="1" applyBorder="1" applyAlignment="1">
      <alignment horizontal="center"/>
    </xf>
    <xf numFmtId="188" fontId="5" fillId="14" borderId="15" xfId="0" applyNumberFormat="1" applyFont="1" applyFill="1" applyBorder="1" applyAlignment="1">
      <alignment horizontal="right"/>
    </xf>
    <xf numFmtId="0" fontId="11" fillId="2" borderId="14" xfId="0" applyFont="1" applyFill="1" applyBorder="1" applyAlignment="1"/>
    <xf numFmtId="0" fontId="2" fillId="15" borderId="6" xfId="0" applyFont="1" applyFill="1" applyBorder="1" applyAlignment="1"/>
    <xf numFmtId="189" fontId="2" fillId="15" borderId="6" xfId="0" applyNumberFormat="1" applyFont="1" applyFill="1" applyBorder="1" applyAlignment="1"/>
    <xf numFmtId="188" fontId="2" fillId="15" borderId="6" xfId="0" applyNumberFormat="1" applyFont="1" applyFill="1" applyBorder="1" applyAlignment="1"/>
    <xf numFmtId="188" fontId="2" fillId="15" borderId="7" xfId="0" applyNumberFormat="1" applyFont="1" applyFill="1" applyBorder="1" applyAlignment="1"/>
    <xf numFmtId="0" fontId="2" fillId="16" borderId="13" xfId="0" applyFont="1" applyFill="1" applyBorder="1" applyAlignment="1"/>
    <xf numFmtId="0" fontId="2" fillId="16" borderId="15" xfId="0" applyFont="1" applyFill="1" applyBorder="1" applyAlignment="1"/>
    <xf numFmtId="189" fontId="2" fillId="16" borderId="15" xfId="0" applyNumberFormat="1" applyFont="1" applyFill="1" applyBorder="1" applyAlignment="1"/>
    <xf numFmtId="188" fontId="2" fillId="16" borderId="15" xfId="0" applyNumberFormat="1" applyFont="1" applyFill="1" applyBorder="1" applyAlignment="1"/>
    <xf numFmtId="0" fontId="2" fillId="17" borderId="13" xfId="0" applyFont="1" applyFill="1" applyBorder="1" applyAlignment="1"/>
    <xf numFmtId="0" fontId="1" fillId="17" borderId="14" xfId="0" applyFont="1" applyFill="1" applyBorder="1" applyAlignment="1"/>
    <xf numFmtId="0" fontId="2" fillId="17" borderId="14" xfId="0" applyFont="1" applyFill="1" applyBorder="1" applyAlignment="1"/>
    <xf numFmtId="0" fontId="2" fillId="17" borderId="15" xfId="0" applyFont="1" applyFill="1" applyBorder="1" applyAlignment="1"/>
    <xf numFmtId="189" fontId="2" fillId="17" borderId="15" xfId="0" applyNumberFormat="1" applyFont="1" applyFill="1" applyBorder="1" applyAlignment="1"/>
    <xf numFmtId="188" fontId="2" fillId="17" borderId="15" xfId="0" applyNumberFormat="1" applyFont="1" applyFill="1" applyBorder="1" applyAlignment="1"/>
    <xf numFmtId="0" fontId="2" fillId="18" borderId="13" xfId="0" applyFont="1" applyFill="1" applyBorder="1" applyAlignment="1"/>
    <xf numFmtId="0" fontId="2" fillId="18" borderId="14" xfId="0" applyFont="1" applyFill="1" applyBorder="1" applyAlignment="1"/>
    <xf numFmtId="0" fontId="1" fillId="18" borderId="14" xfId="0" applyFont="1" applyFill="1" applyBorder="1" applyAlignment="1"/>
    <xf numFmtId="0" fontId="12" fillId="18" borderId="14" xfId="0" applyFont="1" applyFill="1" applyBorder="1" applyAlignment="1"/>
    <xf numFmtId="0" fontId="2" fillId="18" borderId="15" xfId="0" applyFont="1" applyFill="1" applyBorder="1" applyAlignment="1"/>
    <xf numFmtId="0" fontId="1" fillId="18" borderId="15" xfId="0" applyFont="1" applyFill="1" applyBorder="1" applyAlignment="1">
      <alignment horizontal="center"/>
    </xf>
    <xf numFmtId="189" fontId="2" fillId="18" borderId="15" xfId="0" applyNumberFormat="1" applyFont="1" applyFill="1" applyBorder="1" applyAlignment="1"/>
    <xf numFmtId="188" fontId="2" fillId="18" borderId="15" xfId="0" applyNumberFormat="1" applyFont="1" applyFill="1" applyBorder="1" applyAlignment="1"/>
    <xf numFmtId="188" fontId="1" fillId="18" borderId="15" xfId="0" applyNumberFormat="1" applyFont="1" applyFill="1" applyBorder="1" applyAlignment="1">
      <alignment horizontal="right"/>
    </xf>
    <xf numFmtId="0" fontId="5" fillId="18" borderId="14" xfId="0" applyFont="1" applyFill="1" applyBorder="1" applyAlignment="1"/>
    <xf numFmtId="0" fontId="5" fillId="18" borderId="15" xfId="0" applyFont="1" applyFill="1" applyBorder="1" applyAlignment="1">
      <alignment horizontal="center"/>
    </xf>
    <xf numFmtId="188" fontId="5" fillId="18" borderId="15" xfId="0" applyNumberFormat="1" applyFont="1" applyFill="1" applyBorder="1" applyAlignment="1">
      <alignment horizontal="right"/>
    </xf>
    <xf numFmtId="0" fontId="2" fillId="2" borderId="19" xfId="0" applyFont="1" applyFill="1" applyBorder="1" applyAlignment="1"/>
    <xf numFmtId="0" fontId="5" fillId="2" borderId="0" xfId="0" applyFont="1" applyFill="1" applyAlignment="1"/>
    <xf numFmtId="0" fontId="2" fillId="2" borderId="20" xfId="0" applyFont="1" applyFill="1" applyBorder="1" applyAlignment="1"/>
    <xf numFmtId="0" fontId="5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5" fillId="2" borderId="20" xfId="0" applyNumberFormat="1" applyFont="1" applyFill="1" applyBorder="1" applyAlignment="1">
      <alignment horizontal="right"/>
    </xf>
    <xf numFmtId="187" fontId="1" fillId="19" borderId="5" xfId="0" applyNumberFormat="1" applyFont="1" applyFill="1" applyBorder="1" applyAlignment="1"/>
    <xf numFmtId="187" fontId="2" fillId="19" borderId="6" xfId="0" applyNumberFormat="1" applyFont="1" applyFill="1" applyBorder="1" applyAlignment="1"/>
    <xf numFmtId="0" fontId="2" fillId="19" borderId="6" xfId="0" applyFont="1" applyFill="1" applyBorder="1" applyAlignment="1"/>
    <xf numFmtId="189" fontId="2" fillId="19" borderId="6" xfId="0" applyNumberFormat="1" applyFont="1" applyFill="1" applyBorder="1" applyAlignment="1"/>
    <xf numFmtId="188" fontId="2" fillId="19" borderId="6" xfId="0" applyNumberFormat="1" applyFont="1" applyFill="1" applyBorder="1" applyAlignment="1"/>
    <xf numFmtId="188" fontId="2" fillId="19" borderId="7" xfId="0" applyNumberFormat="1" applyFont="1" applyFill="1" applyBorder="1" applyAlignment="1"/>
    <xf numFmtId="187" fontId="1" fillId="20" borderId="13" xfId="0" applyNumberFormat="1" applyFont="1" applyFill="1" applyBorder="1" applyAlignment="1"/>
    <xf numFmtId="0" fontId="2" fillId="20" borderId="14" xfId="0" applyFont="1" applyFill="1" applyBorder="1" applyAlignment="1"/>
    <xf numFmtId="187" fontId="2" fillId="20" borderId="14" xfId="0" applyNumberFormat="1" applyFont="1" applyFill="1" applyBorder="1" applyAlignment="1"/>
    <xf numFmtId="0" fontId="2" fillId="20" borderId="15" xfId="0" applyFont="1" applyFill="1" applyBorder="1" applyAlignment="1"/>
    <xf numFmtId="189" fontId="2" fillId="20" borderId="15" xfId="0" applyNumberFormat="1" applyFont="1" applyFill="1" applyBorder="1" applyAlignment="1"/>
    <xf numFmtId="188" fontId="2" fillId="20" borderId="15" xfId="0" applyNumberFormat="1" applyFont="1" applyFill="1" applyBorder="1" applyAlignment="1"/>
    <xf numFmtId="190" fontId="2" fillId="10" borderId="13" xfId="0" applyNumberFormat="1" applyFont="1" applyFill="1" applyBorder="1" applyAlignment="1"/>
    <xf numFmtId="0" fontId="1" fillId="10" borderId="14" xfId="0" applyFont="1" applyFill="1" applyBorder="1" applyAlignment="1"/>
    <xf numFmtId="187" fontId="2" fillId="10" borderId="14" xfId="0" applyNumberFormat="1" applyFont="1" applyFill="1" applyBorder="1" applyAlignment="1"/>
    <xf numFmtId="0" fontId="1" fillId="10" borderId="15" xfId="0" applyFont="1" applyFill="1" applyBorder="1" applyAlignment="1">
      <alignment horizontal="center" wrapText="1"/>
    </xf>
    <xf numFmtId="189" fontId="1" fillId="10" borderId="15" xfId="0" applyNumberFormat="1" applyFont="1" applyFill="1" applyBorder="1" applyAlignment="1">
      <alignment horizontal="right"/>
    </xf>
    <xf numFmtId="190" fontId="2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3" fillId="2" borderId="14" xfId="0" applyFont="1" applyFill="1" applyBorder="1" applyAlignment="1"/>
    <xf numFmtId="187" fontId="1" fillId="2" borderId="15" xfId="0" applyNumberFormat="1" applyFont="1" applyFill="1" applyBorder="1" applyAlignment="1">
      <alignment horizontal="center"/>
    </xf>
    <xf numFmtId="188" fontId="1" fillId="2" borderId="15" xfId="0" applyNumberFormat="1" applyFont="1" applyFill="1" applyBorder="1" applyAlignment="1">
      <alignment horizontal="right"/>
    </xf>
    <xf numFmtId="187" fontId="5" fillId="2" borderId="15" xfId="0" applyNumberFormat="1" applyFont="1" applyFill="1" applyBorder="1" applyAlignment="1">
      <alignment horizontal="center"/>
    </xf>
    <xf numFmtId="187" fontId="5" fillId="0" borderId="15" xfId="0" applyNumberFormat="1" applyFont="1" applyBorder="1" applyAlignment="1">
      <alignment horizontal="center" wrapText="1"/>
    </xf>
    <xf numFmtId="189" fontId="2" fillId="0" borderId="15" xfId="0" applyNumberFormat="1" applyFont="1" applyBorder="1" applyAlignment="1"/>
    <xf numFmtId="188" fontId="2" fillId="0" borderId="15" xfId="0" applyNumberFormat="1" applyFont="1" applyBorder="1" applyAlignment="1"/>
    <xf numFmtId="187" fontId="5" fillId="0" borderId="15" xfId="0" applyNumberFormat="1" applyFont="1" applyBorder="1" applyAlignment="1">
      <alignment horizontal="center"/>
    </xf>
    <xf numFmtId="187" fontId="2" fillId="0" borderId="13" xfId="0" applyNumberFormat="1" applyFont="1" applyBorder="1" applyAlignment="1"/>
    <xf numFmtId="187" fontId="2" fillId="0" borderId="14" xfId="0" applyNumberFormat="1" applyFont="1" applyBorder="1" applyAlignment="1"/>
    <xf numFmtId="0" fontId="14" fillId="21" borderId="14" xfId="0" quotePrefix="1" applyFont="1" applyFill="1" applyBorder="1" applyAlignment="1"/>
    <xf numFmtId="0" fontId="2" fillId="21" borderId="14" xfId="0" applyFont="1" applyFill="1" applyBorder="1" applyAlignment="1"/>
    <xf numFmtId="0" fontId="2" fillId="21" borderId="15" xfId="0" applyFont="1" applyFill="1" applyBorder="1" applyAlignment="1"/>
    <xf numFmtId="0" fontId="2" fillId="0" borderId="15" xfId="0" applyFont="1" applyBorder="1" applyAlignment="1"/>
    <xf numFmtId="0" fontId="5" fillId="0" borderId="14" xfId="0" quotePrefix="1" applyFont="1" applyBorder="1" applyAlignment="1"/>
    <xf numFmtId="0" fontId="2" fillId="0" borderId="14" xfId="0" applyFont="1" applyBorder="1" applyAlignment="1"/>
    <xf numFmtId="0" fontId="1" fillId="0" borderId="15" xfId="0" applyFont="1" applyBorder="1" applyAlignment="1">
      <alignment horizontal="center" wrapText="1"/>
    </xf>
    <xf numFmtId="189" fontId="1" fillId="2" borderId="15" xfId="0" applyNumberFormat="1" applyFont="1" applyFill="1" applyBorder="1" applyAlignment="1">
      <alignment horizontal="right"/>
    </xf>
    <xf numFmtId="188" fontId="1" fillId="0" borderId="15" xfId="0" applyNumberFormat="1" applyFont="1" applyBorder="1" applyAlignment="1">
      <alignment horizontal="right"/>
    </xf>
    <xf numFmtId="0" fontId="5" fillId="0" borderId="14" xfId="0" applyFont="1" applyBorder="1" applyAlignment="1"/>
    <xf numFmtId="0" fontId="5" fillId="0" borderId="15" xfId="0" applyFont="1" applyBorder="1" applyAlignment="1">
      <alignment horizontal="center"/>
    </xf>
    <xf numFmtId="189" fontId="5" fillId="0" borderId="15" xfId="0" applyNumberFormat="1" applyFont="1" applyBorder="1" applyAlignment="1">
      <alignment horizontal="right"/>
    </xf>
    <xf numFmtId="189" fontId="5" fillId="2" borderId="15" xfId="0" applyNumberFormat="1" applyFont="1" applyFill="1" applyBorder="1" applyAlignment="1">
      <alignment horizontal="right"/>
    </xf>
    <xf numFmtId="188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187" fontId="15" fillId="8" borderId="13" xfId="0" applyNumberFormat="1" applyFont="1" applyFill="1" applyBorder="1" applyAlignment="1"/>
    <xf numFmtId="187" fontId="15" fillId="8" borderId="14" xfId="0" applyNumberFormat="1" applyFont="1" applyFill="1" applyBorder="1" applyAlignment="1"/>
    <xf numFmtId="0" fontId="16" fillId="8" borderId="14" xfId="0" applyFont="1" applyFill="1" applyBorder="1" applyAlignment="1"/>
    <xf numFmtId="0" fontId="15" fillId="8" borderId="14" xfId="0" applyFont="1" applyFill="1" applyBorder="1" applyAlignment="1"/>
    <xf numFmtId="0" fontId="15" fillId="8" borderId="15" xfId="0" applyFont="1" applyFill="1" applyBorder="1" applyAlignment="1"/>
    <xf numFmtId="0" fontId="16" fillId="8" borderId="15" xfId="0" applyFont="1" applyFill="1" applyBorder="1" applyAlignment="1">
      <alignment horizontal="center"/>
    </xf>
    <xf numFmtId="189" fontId="16" fillId="8" borderId="15" xfId="0" applyNumberFormat="1" applyFont="1" applyFill="1" applyBorder="1" applyAlignment="1">
      <alignment horizontal="right"/>
    </xf>
    <xf numFmtId="188" fontId="16" fillId="8" borderId="15" xfId="0" applyNumberFormat="1" applyFont="1" applyFill="1" applyBorder="1" applyAlignment="1">
      <alignment horizontal="right"/>
    </xf>
    <xf numFmtId="0" fontId="1" fillId="0" borderId="14" xfId="0" applyFont="1" applyBorder="1" applyAlignment="1"/>
    <xf numFmtId="0" fontId="5" fillId="0" borderId="14" xfId="0" applyFont="1" applyBorder="1" applyAlignment="1"/>
    <xf numFmtId="189" fontId="5" fillId="2" borderId="15" xfId="0" applyNumberFormat="1" applyFont="1" applyFill="1" applyBorder="1" applyAlignment="1">
      <alignment horizontal="right"/>
    </xf>
    <xf numFmtId="0" fontId="17" fillId="8" borderId="14" xfId="0" applyFont="1" applyFill="1" applyBorder="1" applyAlignment="1"/>
    <xf numFmtId="189" fontId="15" fillId="8" borderId="15" xfId="0" applyNumberFormat="1" applyFont="1" applyFill="1" applyBorder="1" applyAlignment="1"/>
    <xf numFmtId="189" fontId="15" fillId="2" borderId="15" xfId="0" applyNumberFormat="1" applyFont="1" applyFill="1" applyBorder="1" applyAlignment="1"/>
    <xf numFmtId="188" fontId="15" fillId="8" borderId="15" xfId="0" applyNumberFormat="1" applyFont="1" applyFill="1" applyBorder="1" applyAlignment="1"/>
    <xf numFmtId="189" fontId="16" fillId="2" borderId="15" xfId="0" applyNumberFormat="1" applyFont="1" applyFill="1" applyBorder="1" applyAlignment="1">
      <alignment horizontal="right"/>
    </xf>
    <xf numFmtId="0" fontId="18" fillId="8" borderId="14" xfId="0" applyFont="1" applyFill="1" applyBorder="1" applyAlignment="1"/>
    <xf numFmtId="0" fontId="19" fillId="8" borderId="14" xfId="0" applyFont="1" applyFill="1" applyBorder="1" applyAlignment="1"/>
    <xf numFmtId="0" fontId="17" fillId="8" borderId="15" xfId="0" applyFont="1" applyFill="1" applyBorder="1" applyAlignment="1">
      <alignment horizontal="center"/>
    </xf>
    <xf numFmtId="189" fontId="17" fillId="8" borderId="15" xfId="0" applyNumberFormat="1" applyFont="1" applyFill="1" applyBorder="1" applyAlignment="1">
      <alignment horizontal="right"/>
    </xf>
    <xf numFmtId="188" fontId="17" fillId="8" borderId="15" xfId="0" applyNumberFormat="1" applyFont="1" applyFill="1" applyBorder="1" applyAlignment="1">
      <alignment horizontal="right"/>
    </xf>
    <xf numFmtId="187" fontId="1" fillId="8" borderId="13" xfId="0" applyNumberFormat="1" applyFont="1" applyFill="1" applyBorder="1" applyAlignment="1"/>
    <xf numFmtId="190" fontId="2" fillId="8" borderId="14" xfId="0" applyNumberFormat="1" applyFont="1" applyFill="1" applyBorder="1" applyAlignment="1"/>
    <xf numFmtId="189" fontId="2" fillId="8" borderId="14" xfId="0" applyNumberFormat="1" applyFont="1" applyFill="1" applyBorder="1" applyAlignment="1"/>
    <xf numFmtId="188" fontId="2" fillId="8" borderId="14" xfId="0" applyNumberFormat="1" applyFont="1" applyFill="1" applyBorder="1" applyAlignment="1"/>
    <xf numFmtId="190" fontId="2" fillId="8" borderId="13" xfId="0" applyNumberFormat="1" applyFont="1" applyFill="1" applyBorder="1" applyAlignment="1"/>
    <xf numFmtId="0" fontId="1" fillId="8" borderId="14" xfId="0" applyFont="1" applyFill="1" applyBorder="1" applyAlignment="1"/>
    <xf numFmtId="187" fontId="2" fillId="8" borderId="14" xfId="0" applyNumberFormat="1" applyFont="1" applyFill="1" applyBorder="1" applyAlignment="1"/>
    <xf numFmtId="189" fontId="5" fillId="8" borderId="15" xfId="0" applyNumberFormat="1" applyFont="1" applyFill="1" applyBorder="1" applyAlignment="1">
      <alignment horizontal="right"/>
    </xf>
    <xf numFmtId="187" fontId="1" fillId="8" borderId="15" xfId="0" applyNumberFormat="1" applyFont="1" applyFill="1" applyBorder="1" applyAlignment="1">
      <alignment horizontal="center"/>
    </xf>
    <xf numFmtId="190" fontId="15" fillId="8" borderId="13" xfId="0" applyNumberFormat="1" applyFont="1" applyFill="1" applyBorder="1" applyAlignment="1"/>
    <xf numFmtId="187" fontId="16" fillId="8" borderId="15" xfId="0" applyNumberFormat="1" applyFont="1" applyFill="1" applyBorder="1" applyAlignment="1">
      <alignment horizontal="center"/>
    </xf>
    <xf numFmtId="187" fontId="5" fillId="8" borderId="15" xfId="0" applyNumberFormat="1" applyFont="1" applyFill="1" applyBorder="1" applyAlignment="1">
      <alignment horizontal="center"/>
    </xf>
    <xf numFmtId="187" fontId="5" fillId="8" borderId="15" xfId="0" applyNumberFormat="1" applyFont="1" applyFill="1" applyBorder="1" applyAlignment="1">
      <alignment horizontal="center" wrapText="1"/>
    </xf>
    <xf numFmtId="187" fontId="16" fillId="8" borderId="15" xfId="0" applyNumberFormat="1" applyFont="1" applyFill="1" applyBorder="1" applyAlignment="1">
      <alignment horizontal="center" wrapText="1"/>
    </xf>
    <xf numFmtId="190" fontId="2" fillId="20" borderId="14" xfId="0" applyNumberFormat="1" applyFont="1" applyFill="1" applyBorder="1" applyAlignment="1"/>
    <xf numFmtId="189" fontId="2" fillId="20" borderId="14" xfId="0" applyNumberFormat="1" applyFont="1" applyFill="1" applyBorder="1" applyAlignment="1"/>
    <xf numFmtId="188" fontId="2" fillId="20" borderId="14" xfId="0" applyNumberFormat="1" applyFont="1" applyFill="1" applyBorder="1" applyAlignment="1"/>
    <xf numFmtId="190" fontId="2" fillId="10" borderId="14" xfId="0" applyNumberFormat="1" applyFont="1" applyFill="1" applyBorder="1" applyAlignment="1"/>
    <xf numFmtId="190" fontId="1" fillId="10" borderId="14" xfId="0" applyNumberFormat="1" applyFont="1" applyFill="1" applyBorder="1" applyAlignment="1"/>
    <xf numFmtId="0" fontId="1" fillId="10" borderId="15" xfId="0" applyFont="1" applyFill="1" applyBorder="1" applyAlignment="1">
      <alignment horizontal="center" wrapText="1"/>
    </xf>
    <xf numFmtId="187" fontId="2" fillId="0" borderId="15" xfId="0" applyNumberFormat="1" applyFont="1" applyBorder="1" applyAlignment="1"/>
    <xf numFmtId="190" fontId="2" fillId="2" borderId="16" xfId="0" applyNumberFormat="1" applyFont="1" applyFill="1" applyBorder="1" applyAlignment="1"/>
    <xf numFmtId="0" fontId="2" fillId="0" borderId="17" xfId="0" applyFont="1" applyBorder="1" applyAlignment="1"/>
    <xf numFmtId="0" fontId="5" fillId="2" borderId="17" xfId="0" applyFont="1" applyFill="1" applyBorder="1" applyAlignment="1"/>
    <xf numFmtId="187" fontId="5" fillId="0" borderId="18" xfId="0" applyNumberFormat="1" applyFont="1" applyBorder="1" applyAlignment="1">
      <alignment horizontal="center"/>
    </xf>
    <xf numFmtId="189" fontId="5" fillId="2" borderId="18" xfId="0" applyNumberFormat="1" applyFont="1" applyFill="1" applyBorder="1" applyAlignment="1">
      <alignment horizontal="right"/>
    </xf>
    <xf numFmtId="0" fontId="5" fillId="2" borderId="17" xfId="0" applyFont="1" applyFill="1" applyBorder="1" applyAlignment="1"/>
    <xf numFmtId="187" fontId="5" fillId="0" borderId="18" xfId="0" applyNumberFormat="1" applyFont="1" applyBorder="1" applyAlignment="1">
      <alignment horizontal="center"/>
    </xf>
    <xf numFmtId="189" fontId="5" fillId="2" borderId="18" xfId="0" applyNumberFormat="1" applyFont="1" applyFill="1" applyBorder="1" applyAlignment="1">
      <alignment horizontal="right"/>
    </xf>
    <xf numFmtId="0" fontId="20" fillId="2" borderId="17" xfId="0" applyFont="1" applyFill="1" applyBorder="1" applyAlignment="1"/>
    <xf numFmtId="190" fontId="2" fillId="2" borderId="22" xfId="0" applyNumberFormat="1" applyFont="1" applyFill="1" applyBorder="1" applyAlignment="1"/>
    <xf numFmtId="0" fontId="2" fillId="2" borderId="23" xfId="0" applyFont="1" applyFill="1" applyBorder="1" applyAlignment="1"/>
    <xf numFmtId="0" fontId="5" fillId="2" borderId="23" xfId="0" applyFont="1" applyFill="1" applyBorder="1" applyAlignment="1"/>
    <xf numFmtId="0" fontId="2" fillId="2" borderId="24" xfId="0" applyFont="1" applyFill="1" applyBorder="1" applyAlignment="1"/>
    <xf numFmtId="187" fontId="5" fillId="0" borderId="24" xfId="0" applyNumberFormat="1" applyFont="1" applyBorder="1" applyAlignment="1">
      <alignment horizontal="center"/>
    </xf>
    <xf numFmtId="189" fontId="5" fillId="2" borderId="24" xfId="0" applyNumberFormat="1" applyFont="1" applyFill="1" applyBorder="1" applyAlignment="1">
      <alignment horizontal="right"/>
    </xf>
    <xf numFmtId="189" fontId="5" fillId="2" borderId="24" xfId="0" applyNumberFormat="1" applyFont="1" applyFill="1" applyBorder="1" applyAlignment="1">
      <alignment horizontal="right"/>
    </xf>
    <xf numFmtId="188" fontId="2" fillId="2" borderId="24" xfId="0" applyNumberFormat="1" applyFont="1" applyFill="1" applyBorder="1" applyAlignment="1"/>
    <xf numFmtId="187" fontId="1" fillId="20" borderId="16" xfId="0" applyNumberFormat="1" applyFont="1" applyFill="1" applyBorder="1" applyAlignment="1"/>
    <xf numFmtId="0" fontId="2" fillId="20" borderId="17" xfId="0" applyFont="1" applyFill="1" applyBorder="1" applyAlignment="1"/>
    <xf numFmtId="190" fontId="2" fillId="20" borderId="17" xfId="0" applyNumberFormat="1" applyFont="1" applyFill="1" applyBorder="1" applyAlignment="1"/>
    <xf numFmtId="189" fontId="2" fillId="20" borderId="17" xfId="0" applyNumberFormat="1" applyFont="1" applyFill="1" applyBorder="1" applyAlignment="1"/>
    <xf numFmtId="188" fontId="2" fillId="20" borderId="17" xfId="0" applyNumberFormat="1" applyFont="1" applyFill="1" applyBorder="1" applyAlignment="1"/>
    <xf numFmtId="188" fontId="2" fillId="20" borderId="18" xfId="0" applyNumberFormat="1" applyFont="1" applyFill="1" applyBorder="1" applyAlignment="1"/>
    <xf numFmtId="187" fontId="1" fillId="10" borderId="15" xfId="0" applyNumberFormat="1" applyFont="1" applyFill="1" applyBorder="1" applyAlignment="1">
      <alignment horizontal="center"/>
    </xf>
    <xf numFmtId="0" fontId="5" fillId="2" borderId="14" xfId="0" applyFont="1" applyFill="1" applyBorder="1" applyAlignment="1"/>
    <xf numFmtId="190" fontId="2" fillId="2" borderId="19" xfId="0" applyNumberFormat="1" applyFont="1" applyFill="1" applyBorder="1" applyAlignment="1"/>
    <xf numFmtId="0" fontId="5" fillId="2" borderId="0" xfId="0" applyFont="1" applyFill="1" applyAlignment="1"/>
    <xf numFmtId="187" fontId="5" fillId="0" borderId="20" xfId="0" applyNumberFormat="1" applyFont="1" applyBorder="1" applyAlignment="1">
      <alignment horizontal="center"/>
    </xf>
    <xf numFmtId="189" fontId="5" fillId="2" borderId="20" xfId="0" applyNumberFormat="1" applyFont="1" applyFill="1" applyBorder="1" applyAlignment="1">
      <alignment horizontal="right"/>
    </xf>
    <xf numFmtId="187" fontId="1" fillId="7" borderId="5" xfId="0" applyNumberFormat="1" applyFont="1" applyFill="1" applyBorder="1" applyAlignment="1"/>
    <xf numFmtId="187" fontId="2" fillId="7" borderId="6" xfId="0" applyNumberFormat="1" applyFont="1" applyFill="1" applyBorder="1" applyAlignment="1"/>
    <xf numFmtId="0" fontId="2" fillId="7" borderId="6" xfId="0" applyFont="1" applyFill="1" applyBorder="1" applyAlignment="1"/>
    <xf numFmtId="189" fontId="2" fillId="7" borderId="6" xfId="0" applyNumberFormat="1" applyFont="1" applyFill="1" applyBorder="1" applyAlignment="1"/>
    <xf numFmtId="188" fontId="2" fillId="7" borderId="6" xfId="0" applyNumberFormat="1" applyFont="1" applyFill="1" applyBorder="1" applyAlignment="1"/>
    <xf numFmtId="188" fontId="2" fillId="7" borderId="7" xfId="0" applyNumberFormat="1" applyFont="1" applyFill="1" applyBorder="1" applyAlignment="1"/>
    <xf numFmtId="187" fontId="1" fillId="22" borderId="13" xfId="0" applyNumberFormat="1" applyFont="1" applyFill="1" applyBorder="1" applyAlignment="1"/>
    <xf numFmtId="187" fontId="2" fillId="22" borderId="14" xfId="0" applyNumberFormat="1" applyFont="1" applyFill="1" applyBorder="1" applyAlignment="1"/>
    <xf numFmtId="0" fontId="2" fillId="22" borderId="14" xfId="0" applyFont="1" applyFill="1" applyBorder="1" applyAlignment="1"/>
    <xf numFmtId="0" fontId="2" fillId="22" borderId="15" xfId="0" applyFont="1" applyFill="1" applyBorder="1" applyAlignment="1"/>
    <xf numFmtId="189" fontId="2" fillId="22" borderId="15" xfId="0" applyNumberFormat="1" applyFont="1" applyFill="1" applyBorder="1" applyAlignment="1"/>
    <xf numFmtId="188" fontId="2" fillId="22" borderId="15" xfId="0" applyNumberFormat="1" applyFont="1" applyFill="1" applyBorder="1" applyAlignment="1"/>
    <xf numFmtId="187" fontId="2" fillId="21" borderId="13" xfId="0" applyNumberFormat="1" applyFont="1" applyFill="1" applyBorder="1" applyAlignment="1"/>
    <xf numFmtId="0" fontId="1" fillId="21" borderId="14" xfId="0" applyFont="1" applyFill="1" applyBorder="1" applyAlignment="1"/>
    <xf numFmtId="187" fontId="2" fillId="21" borderId="14" xfId="0" applyNumberFormat="1" applyFont="1" applyFill="1" applyBorder="1" applyAlignment="1"/>
    <xf numFmtId="0" fontId="1" fillId="21" borderId="15" xfId="0" applyFont="1" applyFill="1" applyBorder="1" applyAlignment="1">
      <alignment horizontal="center" wrapText="1"/>
    </xf>
    <xf numFmtId="189" fontId="1" fillId="21" borderId="15" xfId="0" applyNumberFormat="1" applyFont="1" applyFill="1" applyBorder="1" applyAlignment="1">
      <alignment horizontal="right"/>
    </xf>
    <xf numFmtId="188" fontId="1" fillId="21" borderId="15" xfId="0" applyNumberFormat="1" applyFont="1" applyFill="1" applyBorder="1" applyAlignment="1">
      <alignment horizontal="right"/>
    </xf>
    <xf numFmtId="188" fontId="2" fillId="21" borderId="15" xfId="0" applyNumberFormat="1" applyFont="1" applyFill="1" applyBorder="1" applyAlignment="1"/>
    <xf numFmtId="187" fontId="2" fillId="2" borderId="13" xfId="0" applyNumberFormat="1" applyFont="1" applyFill="1" applyBorder="1" applyAlignment="1"/>
    <xf numFmtId="187" fontId="5" fillId="2" borderId="14" xfId="0" applyNumberFormat="1" applyFont="1" applyFill="1" applyBorder="1" applyAlignment="1"/>
    <xf numFmtId="187" fontId="5" fillId="2" borderId="14" xfId="0" applyNumberFormat="1" applyFont="1" applyFill="1" applyBorder="1" applyAlignment="1"/>
    <xf numFmtId="0" fontId="5" fillId="2" borderId="15" xfId="0" applyFont="1" applyFill="1" applyBorder="1" applyAlignment="1">
      <alignment horizontal="center" wrapText="1"/>
    </xf>
    <xf numFmtId="187" fontId="2" fillId="2" borderId="14" xfId="0" applyNumberFormat="1" applyFont="1" applyFill="1" applyBorder="1" applyAlignment="1"/>
    <xf numFmtId="187" fontId="2" fillId="23" borderId="13" xfId="0" applyNumberFormat="1" applyFont="1" applyFill="1" applyBorder="1" applyAlignment="1"/>
    <xf numFmtId="187" fontId="2" fillId="23" borderId="14" xfId="0" applyNumberFormat="1" applyFont="1" applyFill="1" applyBorder="1" applyAlignment="1"/>
    <xf numFmtId="0" fontId="1" fillId="23" borderId="14" xfId="0" applyFont="1" applyFill="1" applyBorder="1" applyAlignment="1"/>
    <xf numFmtId="0" fontId="2" fillId="23" borderId="14" xfId="0" applyFont="1" applyFill="1" applyBorder="1" applyAlignment="1"/>
    <xf numFmtId="0" fontId="2" fillId="23" borderId="15" xfId="0" applyFont="1" applyFill="1" applyBorder="1" applyAlignment="1"/>
    <xf numFmtId="0" fontId="1" fillId="23" borderId="15" xfId="0" applyFont="1" applyFill="1" applyBorder="1" applyAlignment="1">
      <alignment horizontal="center" wrapText="1"/>
    </xf>
    <xf numFmtId="189" fontId="1" fillId="23" borderId="15" xfId="0" applyNumberFormat="1" applyFont="1" applyFill="1" applyBorder="1" applyAlignment="1">
      <alignment horizontal="right"/>
    </xf>
    <xf numFmtId="188" fontId="1" fillId="23" borderId="15" xfId="0" applyNumberFormat="1" applyFont="1" applyFill="1" applyBorder="1" applyAlignment="1">
      <alignment horizontal="right"/>
    </xf>
    <xf numFmtId="188" fontId="2" fillId="23" borderId="15" xfId="0" applyNumberFormat="1" applyFont="1" applyFill="1" applyBorder="1" applyAlignment="1"/>
    <xf numFmtId="0" fontId="21" fillId="2" borderId="14" xfId="0" quotePrefix="1" applyFont="1" applyFill="1" applyBorder="1" applyAlignment="1"/>
    <xf numFmtId="187" fontId="1" fillId="0" borderId="15" xfId="0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3" borderId="15" xfId="0" applyFont="1" applyFill="1" applyBorder="1" applyAlignment="1">
      <alignment horizontal="center"/>
    </xf>
    <xf numFmtId="0" fontId="22" fillId="2" borderId="17" xfId="0" applyFont="1" applyFill="1" applyBorder="1" applyAlignment="1"/>
    <xf numFmtId="0" fontId="22" fillId="2" borderId="14" xfId="0" applyFont="1" applyFill="1" applyBorder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187" fontId="1" fillId="2" borderId="14" xfId="0" applyNumberFormat="1" applyFont="1" applyFill="1" applyBorder="1" applyAlignment="1"/>
    <xf numFmtId="187" fontId="2" fillId="24" borderId="13" xfId="0" applyNumberFormat="1" applyFont="1" applyFill="1" applyBorder="1" applyAlignment="1"/>
    <xf numFmtId="187" fontId="2" fillId="24" borderId="14" xfId="0" applyNumberFormat="1" applyFont="1" applyFill="1" applyBorder="1" applyAlignment="1"/>
    <xf numFmtId="0" fontId="5" fillId="24" borderId="14" xfId="0" applyFont="1" applyFill="1" applyBorder="1" applyAlignment="1"/>
    <xf numFmtId="0" fontId="2" fillId="24" borderId="14" xfId="0" applyFont="1" applyFill="1" applyBorder="1" applyAlignment="1"/>
    <xf numFmtId="0" fontId="2" fillId="24" borderId="15" xfId="0" applyFont="1" applyFill="1" applyBorder="1" applyAlignment="1"/>
    <xf numFmtId="187" fontId="5" fillId="24" borderId="15" xfId="0" applyNumberFormat="1" applyFont="1" applyFill="1" applyBorder="1" applyAlignment="1">
      <alignment horizontal="center" wrapText="1"/>
    </xf>
    <xf numFmtId="189" fontId="2" fillId="24" borderId="15" xfId="0" applyNumberFormat="1" applyFont="1" applyFill="1" applyBorder="1" applyAlignment="1"/>
    <xf numFmtId="188" fontId="2" fillId="24" borderId="15" xfId="0" applyNumberFormat="1" applyFont="1" applyFill="1" applyBorder="1" applyAlignment="1"/>
    <xf numFmtId="188" fontId="5" fillId="24" borderId="15" xfId="0" applyNumberFormat="1" applyFont="1" applyFill="1" applyBorder="1" applyAlignment="1">
      <alignment horizontal="right"/>
    </xf>
    <xf numFmtId="187" fontId="5" fillId="0" borderId="14" xfId="0" quotePrefix="1" applyNumberFormat="1" applyFont="1" applyBorder="1" applyAlignment="1"/>
    <xf numFmtId="187" fontId="15" fillId="24" borderId="13" xfId="0" applyNumberFormat="1" applyFont="1" applyFill="1" applyBorder="1" applyAlignment="1"/>
    <xf numFmtId="187" fontId="15" fillId="24" borderId="14" xfId="0" applyNumberFormat="1" applyFont="1" applyFill="1" applyBorder="1" applyAlignment="1"/>
    <xf numFmtId="0" fontId="17" fillId="24" borderId="14" xfId="0" applyFont="1" applyFill="1" applyBorder="1" applyAlignment="1"/>
    <xf numFmtId="0" fontId="15" fillId="24" borderId="14" xfId="0" applyFont="1" applyFill="1" applyBorder="1" applyAlignment="1"/>
    <xf numFmtId="0" fontId="15" fillId="24" borderId="15" xfId="0" applyFont="1" applyFill="1" applyBorder="1" applyAlignment="1"/>
    <xf numFmtId="0" fontId="17" fillId="24" borderId="15" xfId="0" applyFont="1" applyFill="1" applyBorder="1" applyAlignment="1">
      <alignment horizontal="center" wrapText="1"/>
    </xf>
    <xf numFmtId="189" fontId="17" fillId="24" borderId="15" xfId="0" applyNumberFormat="1" applyFont="1" applyFill="1" applyBorder="1" applyAlignment="1">
      <alignment horizontal="right"/>
    </xf>
    <xf numFmtId="188" fontId="17" fillId="24" borderId="15" xfId="0" applyNumberFormat="1" applyFont="1" applyFill="1" applyBorder="1" applyAlignment="1">
      <alignment horizontal="right"/>
    </xf>
    <xf numFmtId="190" fontId="15" fillId="24" borderId="13" xfId="0" applyNumberFormat="1" applyFont="1" applyFill="1" applyBorder="1" applyAlignment="1"/>
    <xf numFmtId="0" fontId="17" fillId="24" borderId="14" xfId="0" applyFont="1" applyFill="1" applyBorder="1" applyAlignment="1"/>
    <xf numFmtId="0" fontId="23" fillId="24" borderId="14" xfId="0" applyFont="1" applyFill="1" applyBorder="1" applyAlignment="1"/>
    <xf numFmtId="187" fontId="17" fillId="24" borderId="15" xfId="0" applyNumberFormat="1" applyFont="1" applyFill="1" applyBorder="1" applyAlignment="1">
      <alignment horizontal="center" wrapText="1"/>
    </xf>
    <xf numFmtId="189" fontId="15" fillId="24" borderId="15" xfId="0" applyNumberFormat="1" applyFont="1" applyFill="1" applyBorder="1" applyAlignment="1"/>
    <xf numFmtId="188" fontId="15" fillId="24" borderId="15" xfId="0" applyNumberFormat="1" applyFont="1" applyFill="1" applyBorder="1" applyAlignment="1"/>
    <xf numFmtId="188" fontId="1" fillId="24" borderId="15" xfId="0" applyNumberFormat="1" applyFont="1" applyFill="1" applyBorder="1" applyAlignment="1">
      <alignment horizontal="right"/>
    </xf>
    <xf numFmtId="0" fontId="16" fillId="24" borderId="14" xfId="0" applyFont="1" applyFill="1" applyBorder="1" applyAlignment="1"/>
    <xf numFmtId="187" fontId="16" fillId="24" borderId="15" xfId="0" applyNumberFormat="1" applyFont="1" applyFill="1" applyBorder="1" applyAlignment="1">
      <alignment horizontal="center" wrapText="1"/>
    </xf>
    <xf numFmtId="188" fontId="5" fillId="24" borderId="15" xfId="0" applyNumberFormat="1" applyFont="1" applyFill="1" applyBorder="1" applyAlignment="1">
      <alignment horizontal="right"/>
    </xf>
    <xf numFmtId="187" fontId="17" fillId="24" borderId="14" xfId="0" applyNumberFormat="1" applyFont="1" applyFill="1" applyBorder="1" applyAlignment="1"/>
    <xf numFmtId="0" fontId="24" fillId="24" borderId="14" xfId="0" quotePrefix="1" applyFont="1" applyFill="1" applyBorder="1" applyAlignment="1"/>
    <xf numFmtId="0" fontId="16" fillId="24" borderId="15" xfId="0" applyFont="1" applyFill="1" applyBorder="1" applyAlignment="1">
      <alignment horizontal="center"/>
    </xf>
    <xf numFmtId="189" fontId="16" fillId="24" borderId="15" xfId="0" applyNumberFormat="1" applyFont="1" applyFill="1" applyBorder="1" applyAlignment="1">
      <alignment horizontal="right"/>
    </xf>
    <xf numFmtId="189" fontId="16" fillId="24" borderId="15" xfId="0" applyNumberFormat="1" applyFont="1" applyFill="1" applyBorder="1" applyAlignment="1">
      <alignment horizontal="right"/>
    </xf>
    <xf numFmtId="188" fontId="16" fillId="24" borderId="15" xfId="0" applyNumberFormat="1" applyFont="1" applyFill="1" applyBorder="1" applyAlignment="1">
      <alignment horizontal="right"/>
    </xf>
    <xf numFmtId="187" fontId="16" fillId="24" borderId="14" xfId="0" quotePrefix="1" applyNumberFormat="1" applyFont="1" applyFill="1" applyBorder="1" applyAlignment="1"/>
    <xf numFmtId="0" fontId="16" fillId="24" borderId="14" xfId="0" quotePrefix="1" applyFont="1" applyFill="1" applyBorder="1" applyAlignment="1"/>
    <xf numFmtId="189" fontId="1" fillId="21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/>
    <xf numFmtId="187" fontId="2" fillId="8" borderId="13" xfId="0" applyNumberFormat="1" applyFont="1" applyFill="1" applyBorder="1" applyAlignment="1"/>
    <xf numFmtId="0" fontId="25" fillId="8" borderId="14" xfId="0" applyFont="1" applyFill="1" applyBorder="1" applyAlignment="1"/>
    <xf numFmtId="189" fontId="5" fillId="8" borderId="15" xfId="0" applyNumberFormat="1" applyFont="1" applyFill="1" applyBorder="1" applyAlignment="1">
      <alignment horizontal="right"/>
    </xf>
    <xf numFmtId="187" fontId="2" fillId="0" borderId="19" xfId="0" applyNumberFormat="1" applyFont="1" applyBorder="1" applyAlignment="1"/>
    <xf numFmtId="187" fontId="2" fillId="0" borderId="0" xfId="0" applyNumberFormat="1" applyFont="1" applyAlignment="1"/>
    <xf numFmtId="0" fontId="5" fillId="0" borderId="0" xfId="0" quotePrefix="1" applyFont="1" applyAlignment="1"/>
    <xf numFmtId="0" fontId="2" fillId="0" borderId="0" xfId="0" applyFont="1" applyAlignment="1"/>
    <xf numFmtId="0" fontId="2" fillId="0" borderId="20" xfId="0" applyFont="1" applyBorder="1" applyAlignment="1"/>
    <xf numFmtId="189" fontId="5" fillId="2" borderId="20" xfId="0" applyNumberFormat="1" applyFont="1" applyFill="1" applyBorder="1" applyAlignment="1">
      <alignment horizontal="right"/>
    </xf>
    <xf numFmtId="188" fontId="5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/>
    <xf numFmtId="187" fontId="26" fillId="25" borderId="5" xfId="0" applyNumberFormat="1" applyFont="1" applyFill="1" applyBorder="1" applyAlignment="1"/>
    <xf numFmtId="187" fontId="27" fillId="25" borderId="6" xfId="0" applyNumberFormat="1" applyFont="1" applyFill="1" applyBorder="1" applyAlignment="1"/>
    <xf numFmtId="0" fontId="27" fillId="25" borderId="6" xfId="0" applyFont="1" applyFill="1" applyBorder="1" applyAlignment="1"/>
    <xf numFmtId="189" fontId="27" fillId="25" borderId="6" xfId="0" applyNumberFormat="1" applyFont="1" applyFill="1" applyBorder="1" applyAlignment="1"/>
    <xf numFmtId="188" fontId="27" fillId="25" borderId="6" xfId="0" applyNumberFormat="1" applyFont="1" applyFill="1" applyBorder="1" applyAlignment="1"/>
    <xf numFmtId="188" fontId="2" fillId="25" borderId="6" xfId="0" applyNumberFormat="1" applyFont="1" applyFill="1" applyBorder="1" applyAlignment="1"/>
    <xf numFmtId="188" fontId="2" fillId="25" borderId="7" xfId="0" applyNumberFormat="1" applyFont="1" applyFill="1" applyBorder="1" applyAlignment="1"/>
    <xf numFmtId="187" fontId="1" fillId="26" borderId="13" xfId="0" applyNumberFormat="1" applyFont="1" applyFill="1" applyBorder="1" applyAlignment="1"/>
    <xf numFmtId="0" fontId="2" fillId="26" borderId="14" xfId="0" applyFont="1" applyFill="1" applyBorder="1" applyAlignment="1"/>
    <xf numFmtId="187" fontId="2" fillId="26" borderId="14" xfId="0" applyNumberFormat="1" applyFont="1" applyFill="1" applyBorder="1" applyAlignment="1"/>
    <xf numFmtId="189" fontId="2" fillId="26" borderId="14" xfId="0" applyNumberFormat="1" applyFont="1" applyFill="1" applyBorder="1" applyAlignment="1"/>
    <xf numFmtId="189" fontId="2" fillId="26" borderId="15" xfId="0" applyNumberFormat="1" applyFont="1" applyFill="1" applyBorder="1" applyAlignment="1"/>
    <xf numFmtId="188" fontId="2" fillId="26" borderId="15" xfId="0" applyNumberFormat="1" applyFont="1" applyFill="1" applyBorder="1" applyAlignment="1"/>
    <xf numFmtId="190" fontId="2" fillId="27" borderId="13" xfId="0" applyNumberFormat="1" applyFont="1" applyFill="1" applyBorder="1" applyAlignment="1"/>
    <xf numFmtId="0" fontId="1" fillId="27" borderId="14" xfId="0" applyFont="1" applyFill="1" applyBorder="1" applyAlignment="1"/>
    <xf numFmtId="0" fontId="2" fillId="27" borderId="14" xfId="0" applyFont="1" applyFill="1" applyBorder="1" applyAlignment="1"/>
    <xf numFmtId="187" fontId="2" fillId="27" borderId="14" xfId="0" applyNumberFormat="1" applyFont="1" applyFill="1" applyBorder="1" applyAlignment="1"/>
    <xf numFmtId="0" fontId="2" fillId="27" borderId="15" xfId="0" applyFont="1" applyFill="1" applyBorder="1" applyAlignment="1"/>
    <xf numFmtId="0" fontId="1" fillId="27" borderId="15" xfId="0" applyFont="1" applyFill="1" applyBorder="1" applyAlignment="1">
      <alignment horizontal="center" wrapText="1"/>
    </xf>
    <xf numFmtId="189" fontId="1" fillId="27" borderId="15" xfId="0" applyNumberFormat="1" applyFont="1" applyFill="1" applyBorder="1" applyAlignment="1">
      <alignment horizontal="right"/>
    </xf>
    <xf numFmtId="188" fontId="1" fillId="27" borderId="15" xfId="0" applyNumberFormat="1" applyFont="1" applyFill="1" applyBorder="1" applyAlignment="1">
      <alignment horizontal="right"/>
    </xf>
    <xf numFmtId="188" fontId="2" fillId="27" borderId="15" xfId="0" applyNumberFormat="1" applyFont="1" applyFill="1" applyBorder="1" applyAlignment="1"/>
    <xf numFmtId="0" fontId="1" fillId="0" borderId="14" xfId="0" applyFont="1" applyBorder="1" applyAlignment="1"/>
    <xf numFmtId="187" fontId="2" fillId="8" borderId="19" xfId="0" applyNumberFormat="1" applyFont="1" applyFill="1" applyBorder="1" applyAlignment="1"/>
    <xf numFmtId="187" fontId="2" fillId="8" borderId="0" xfId="0" applyNumberFormat="1" applyFont="1" applyFill="1" applyAlignment="1"/>
    <xf numFmtId="0" fontId="2" fillId="8" borderId="0" xfId="0" applyFont="1" applyFill="1" applyAlignment="1"/>
    <xf numFmtId="0" fontId="5" fillId="8" borderId="0" xfId="0" applyFont="1" applyFill="1" applyAlignment="1"/>
    <xf numFmtId="0" fontId="2" fillId="8" borderId="20" xfId="0" applyFont="1" applyFill="1" applyBorder="1" applyAlignment="1"/>
    <xf numFmtId="0" fontId="5" fillId="8" borderId="20" xfId="0" applyFont="1" applyFill="1" applyBorder="1" applyAlignment="1">
      <alignment horizontal="center"/>
    </xf>
    <xf numFmtId="189" fontId="5" fillId="8" borderId="20" xfId="0" applyNumberFormat="1" applyFont="1" applyFill="1" applyBorder="1" applyAlignment="1">
      <alignment horizontal="right"/>
    </xf>
    <xf numFmtId="188" fontId="5" fillId="8" borderId="20" xfId="0" applyNumberFormat="1" applyFont="1" applyFill="1" applyBorder="1" applyAlignment="1">
      <alignment horizontal="right"/>
    </xf>
    <xf numFmtId="188" fontId="2" fillId="8" borderId="20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189" fontId="2" fillId="28" borderId="6" xfId="0" applyNumberFormat="1" applyFont="1" applyFill="1" applyBorder="1" applyAlignment="1"/>
    <xf numFmtId="188" fontId="2" fillId="28" borderId="6" xfId="0" applyNumberFormat="1" applyFont="1" applyFill="1" applyBorder="1" applyAlignment="1"/>
    <xf numFmtId="188" fontId="2" fillId="28" borderId="7" xfId="0" applyNumberFormat="1" applyFont="1" applyFill="1" applyBorder="1" applyAlignment="1"/>
    <xf numFmtId="187" fontId="1" fillId="29" borderId="13" xfId="0" applyNumberFormat="1" applyFont="1" applyFill="1" applyBorder="1" applyAlignment="1"/>
    <xf numFmtId="187" fontId="2" fillId="29" borderId="14" xfId="0" applyNumberFormat="1" applyFont="1" applyFill="1" applyBorder="1" applyAlignment="1"/>
    <xf numFmtId="0" fontId="2" fillId="29" borderId="14" xfId="0" applyFont="1" applyFill="1" applyBorder="1" applyAlignment="1"/>
    <xf numFmtId="0" fontId="2" fillId="29" borderId="15" xfId="0" applyFont="1" applyFill="1" applyBorder="1" applyAlignment="1"/>
    <xf numFmtId="189" fontId="2" fillId="29" borderId="15" xfId="0" applyNumberFormat="1" applyFont="1" applyFill="1" applyBorder="1" applyAlignment="1"/>
    <xf numFmtId="188" fontId="2" fillId="29" borderId="15" xfId="0" applyNumberFormat="1" applyFont="1" applyFill="1" applyBorder="1" applyAlignment="1"/>
    <xf numFmtId="187" fontId="2" fillId="30" borderId="13" xfId="0" applyNumberFormat="1" applyFont="1" applyFill="1" applyBorder="1" applyAlignment="1"/>
    <xf numFmtId="0" fontId="1" fillId="30" borderId="14" xfId="0" applyFont="1" applyFill="1" applyBorder="1" applyAlignment="1"/>
    <xf numFmtId="0" fontId="2" fillId="30" borderId="14" xfId="0" applyFont="1" applyFill="1" applyBorder="1" applyAlignment="1"/>
    <xf numFmtId="0" fontId="2" fillId="30" borderId="15" xfId="0" applyFont="1" applyFill="1" applyBorder="1" applyAlignment="1"/>
    <xf numFmtId="0" fontId="1" fillId="30" borderId="15" xfId="0" applyFont="1" applyFill="1" applyBorder="1" applyAlignment="1">
      <alignment horizontal="center" wrapText="1"/>
    </xf>
    <xf numFmtId="189" fontId="1" fillId="30" borderId="15" xfId="0" applyNumberFormat="1" applyFont="1" applyFill="1" applyBorder="1" applyAlignment="1">
      <alignment horizontal="right"/>
    </xf>
    <xf numFmtId="188" fontId="1" fillId="30" borderId="15" xfId="0" applyNumberFormat="1" applyFont="1" applyFill="1" applyBorder="1" applyAlignment="1">
      <alignment horizontal="right"/>
    </xf>
    <xf numFmtId="188" fontId="2" fillId="30" borderId="15" xfId="0" applyNumberFormat="1" applyFont="1" applyFill="1" applyBorder="1" applyAlignment="1"/>
    <xf numFmtId="190" fontId="2" fillId="30" borderId="13" xfId="0" applyNumberFormat="1" applyFont="1" applyFill="1" applyBorder="1" applyAlignment="1"/>
    <xf numFmtId="190" fontId="2" fillId="30" borderId="14" xfId="0" applyNumberFormat="1" applyFont="1" applyFill="1" applyBorder="1" applyAlignment="1"/>
    <xf numFmtId="187" fontId="2" fillId="30" borderId="14" xfId="0" applyNumberFormat="1" applyFont="1" applyFill="1" applyBorder="1" applyAlignment="1"/>
    <xf numFmtId="189" fontId="28" fillId="30" borderId="25" xfId="0" applyNumberFormat="1" applyFont="1" applyFill="1" applyBorder="1" applyAlignment="1">
      <alignment horizontal="right"/>
    </xf>
    <xf numFmtId="189" fontId="28" fillId="30" borderId="18" xfId="0" applyNumberFormat="1" applyFont="1" applyFill="1" applyBorder="1" applyAlignment="1">
      <alignment horizontal="right"/>
    </xf>
    <xf numFmtId="188" fontId="28" fillId="30" borderId="18" xfId="0" applyNumberFormat="1" applyFont="1" applyFill="1" applyBorder="1" applyAlignment="1">
      <alignment horizontal="right"/>
    </xf>
    <xf numFmtId="0" fontId="1" fillId="21" borderId="14" xfId="0" applyFont="1" applyFill="1" applyBorder="1" applyAlignment="1"/>
    <xf numFmtId="0" fontId="2" fillId="2" borderId="21" xfId="0" applyFont="1" applyFill="1" applyBorder="1" applyAlignment="1"/>
    <xf numFmtId="189" fontId="2" fillId="2" borderId="21" xfId="0" applyNumberFormat="1" applyFont="1" applyFill="1" applyBorder="1" applyAlignment="1"/>
    <xf numFmtId="188" fontId="2" fillId="2" borderId="21" xfId="0" applyNumberFormat="1" applyFont="1" applyFill="1" applyBorder="1" applyAlignment="1"/>
    <xf numFmtId="187" fontId="29" fillId="23" borderId="16" xfId="0" applyNumberFormat="1" applyFont="1" applyFill="1" applyBorder="1" applyAlignment="1"/>
    <xf numFmtId="0" fontId="29" fillId="23" borderId="17" xfId="0" applyFont="1" applyFill="1" applyBorder="1" applyAlignment="1"/>
    <xf numFmtId="187" fontId="29" fillId="23" borderId="17" xfId="0" applyNumberFormat="1" applyFont="1" applyFill="1" applyBorder="1" applyAlignment="1"/>
    <xf numFmtId="187" fontId="30" fillId="23" borderId="17" xfId="0" applyNumberFormat="1" applyFont="1" applyFill="1" applyBorder="1" applyAlignment="1"/>
    <xf numFmtId="0" fontId="29" fillId="23" borderId="18" xfId="0" applyFont="1" applyFill="1" applyBorder="1" applyAlignment="1"/>
    <xf numFmtId="0" fontId="28" fillId="23" borderId="18" xfId="0" applyFont="1" applyFill="1" applyBorder="1" applyAlignment="1">
      <alignment horizontal="center" wrapText="1"/>
    </xf>
    <xf numFmtId="189" fontId="28" fillId="23" borderId="18" xfId="0" applyNumberFormat="1" applyFont="1" applyFill="1" applyBorder="1" applyAlignment="1">
      <alignment horizontal="right"/>
    </xf>
    <xf numFmtId="188" fontId="28" fillId="23" borderId="18" xfId="0" applyNumberFormat="1" applyFont="1" applyFill="1" applyBorder="1" applyAlignment="1">
      <alignment horizontal="right"/>
    </xf>
    <xf numFmtId="188" fontId="2" fillId="23" borderId="18" xfId="0" applyNumberFormat="1" applyFont="1" applyFill="1" applyBorder="1" applyAlignment="1"/>
    <xf numFmtId="187" fontId="29" fillId="2" borderId="13" xfId="0" applyNumberFormat="1" applyFont="1" applyFill="1" applyBorder="1" applyAlignment="1"/>
    <xf numFmtId="0" fontId="29" fillId="2" borderId="14" xfId="0" applyFont="1" applyFill="1" applyBorder="1" applyAlignment="1"/>
    <xf numFmtId="187" fontId="29" fillId="2" borderId="14" xfId="0" applyNumberFormat="1" applyFont="1" applyFill="1" applyBorder="1" applyAlignment="1"/>
    <xf numFmtId="0" fontId="29" fillId="0" borderId="14" xfId="0" applyFont="1" applyBorder="1" applyAlignment="1"/>
    <xf numFmtId="0" fontId="22" fillId="0" borderId="14" xfId="0" applyFont="1" applyBorder="1" applyAlignment="1"/>
    <xf numFmtId="0" fontId="29" fillId="2" borderId="15" xfId="0" applyFont="1" applyFill="1" applyBorder="1" applyAlignment="1"/>
    <xf numFmtId="0" fontId="22" fillId="2" borderId="15" xfId="0" applyFont="1" applyFill="1" applyBorder="1" applyAlignment="1">
      <alignment horizontal="center" wrapText="1"/>
    </xf>
    <xf numFmtId="189" fontId="22" fillId="2" borderId="15" xfId="0" applyNumberFormat="1" applyFont="1" applyFill="1" applyBorder="1" applyAlignment="1">
      <alignment horizontal="right"/>
    </xf>
    <xf numFmtId="188" fontId="22" fillId="2" borderId="15" xfId="0" applyNumberFormat="1" applyFont="1" applyFill="1" applyBorder="1" applyAlignment="1">
      <alignment horizontal="right"/>
    </xf>
    <xf numFmtId="187" fontId="29" fillId="2" borderId="15" xfId="0" applyNumberFormat="1" applyFont="1" applyFill="1" applyBorder="1" applyAlignment="1"/>
    <xf numFmtId="189" fontId="29" fillId="2" borderId="15" xfId="0" applyNumberFormat="1" applyFont="1" applyFill="1" applyBorder="1" applyAlignment="1"/>
    <xf numFmtId="188" fontId="29" fillId="2" borderId="15" xfId="0" applyNumberFormat="1" applyFont="1" applyFill="1" applyBorder="1" applyAlignment="1"/>
    <xf numFmtId="187" fontId="22" fillId="2" borderId="15" xfId="0" applyNumberFormat="1" applyFont="1" applyFill="1" applyBorder="1" applyAlignment="1">
      <alignment horizontal="center" wrapText="1"/>
    </xf>
    <xf numFmtId="187" fontId="29" fillId="0" borderId="14" xfId="0" applyNumberFormat="1" applyFont="1" applyBorder="1" applyAlignment="1"/>
    <xf numFmtId="187" fontId="31" fillId="2" borderId="14" xfId="0" applyNumberFormat="1" applyFont="1" applyFill="1" applyBorder="1" applyAlignment="1"/>
    <xf numFmtId="187" fontId="29" fillId="23" borderId="13" xfId="0" applyNumberFormat="1" applyFont="1" applyFill="1" applyBorder="1" applyAlignment="1"/>
    <xf numFmtId="0" fontId="29" fillId="23" borderId="14" xfId="0" applyFont="1" applyFill="1" applyBorder="1" applyAlignment="1"/>
    <xf numFmtId="187" fontId="29" fillId="23" borderId="14" xfId="0" applyNumberFormat="1" applyFont="1" applyFill="1" applyBorder="1" applyAlignment="1"/>
    <xf numFmtId="0" fontId="32" fillId="23" borderId="14" xfId="0" applyFont="1" applyFill="1" applyBorder="1" applyAlignment="1"/>
    <xf numFmtId="0" fontId="29" fillId="23" borderId="15" xfId="0" applyFont="1" applyFill="1" applyBorder="1" applyAlignment="1"/>
    <xf numFmtId="0" fontId="28" fillId="23" borderId="15" xfId="0" applyFont="1" applyFill="1" applyBorder="1" applyAlignment="1">
      <alignment horizontal="center" wrapText="1"/>
    </xf>
    <xf numFmtId="189" fontId="28" fillId="23" borderId="15" xfId="0" applyNumberFormat="1" applyFont="1" applyFill="1" applyBorder="1" applyAlignment="1">
      <alignment horizontal="right"/>
    </xf>
    <xf numFmtId="188" fontId="28" fillId="23" borderId="15" xfId="0" applyNumberFormat="1" applyFont="1" applyFill="1" applyBorder="1" applyAlignment="1">
      <alignment horizontal="right"/>
    </xf>
    <xf numFmtId="187" fontId="22" fillId="2" borderId="15" xfId="0" applyNumberFormat="1" applyFont="1" applyFill="1" applyBorder="1" applyAlignment="1">
      <alignment horizontal="center"/>
    </xf>
    <xf numFmtId="189" fontId="2" fillId="30" borderId="15" xfId="0" applyNumberFormat="1" applyFont="1" applyFill="1" applyBorder="1" applyAlignment="1"/>
    <xf numFmtId="0" fontId="33" fillId="23" borderId="14" xfId="0" applyFont="1" applyFill="1" applyBorder="1" applyAlignment="1"/>
    <xf numFmtId="0" fontId="1" fillId="23" borderId="15" xfId="0" applyFont="1" applyFill="1" applyBorder="1" applyAlignment="1">
      <alignment horizontal="center"/>
    </xf>
    <xf numFmtId="189" fontId="1" fillId="23" borderId="15" xfId="0" applyNumberFormat="1" applyFont="1" applyFill="1" applyBorder="1" applyAlignment="1"/>
    <xf numFmtId="189" fontId="1" fillId="23" borderId="15" xfId="0" applyNumberFormat="1" applyFont="1" applyFill="1" applyBorder="1" applyAlignment="1"/>
    <xf numFmtId="188" fontId="1" fillId="23" borderId="15" xfId="0" applyNumberFormat="1" applyFont="1" applyFill="1" applyBorder="1" applyAlignment="1"/>
    <xf numFmtId="0" fontId="5" fillId="0" borderId="14" xfId="0" quotePrefix="1" applyFont="1" applyBorder="1" applyAlignment="1"/>
    <xf numFmtId="187" fontId="34" fillId="0" borderId="19" xfId="0" applyNumberFormat="1" applyFont="1" applyBorder="1" applyAlignment="1"/>
    <xf numFmtId="0" fontId="5" fillId="0" borderId="20" xfId="0" applyFont="1" applyBorder="1" applyAlignment="1">
      <alignment horizontal="center"/>
    </xf>
    <xf numFmtId="187" fontId="35" fillId="2" borderId="26" xfId="0" applyNumberFormat="1" applyFont="1" applyFill="1" applyBorder="1" applyAlignment="1"/>
    <xf numFmtId="0" fontId="1" fillId="2" borderId="26" xfId="0" applyFont="1" applyFill="1" applyBorder="1" applyAlignment="1"/>
    <xf numFmtId="187" fontId="2" fillId="2" borderId="26" xfId="0" applyNumberFormat="1" applyFont="1" applyFill="1" applyBorder="1" applyAlignment="1"/>
    <xf numFmtId="187" fontId="36" fillId="2" borderId="26" xfId="0" applyNumberFormat="1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189" fontId="2" fillId="2" borderId="28" xfId="0" applyNumberFormat="1" applyFont="1" applyFill="1" applyBorder="1" applyAlignment="1"/>
    <xf numFmtId="188" fontId="2" fillId="2" borderId="28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6" xfId="0" applyNumberFormat="1" applyFont="1" applyFill="1" applyBorder="1" applyAlignment="1"/>
    <xf numFmtId="0" fontId="2" fillId="31" borderId="6" xfId="0" applyFont="1" applyFill="1" applyBorder="1" applyAlignment="1"/>
    <xf numFmtId="189" fontId="2" fillId="31" borderId="6" xfId="0" applyNumberFormat="1" applyFont="1" applyFill="1" applyBorder="1" applyAlignment="1"/>
    <xf numFmtId="188" fontId="2" fillId="31" borderId="6" xfId="0" applyNumberFormat="1" applyFont="1" applyFill="1" applyBorder="1" applyAlignment="1"/>
    <xf numFmtId="188" fontId="2" fillId="31" borderId="7" xfId="0" applyNumberFormat="1" applyFont="1" applyFill="1" applyBorder="1" applyAlignment="1"/>
    <xf numFmtId="187" fontId="1" fillId="32" borderId="13" xfId="0" applyNumberFormat="1" applyFont="1" applyFill="1" applyBorder="1" applyAlignment="1"/>
    <xf numFmtId="187" fontId="2" fillId="32" borderId="14" xfId="0" applyNumberFormat="1" applyFont="1" applyFill="1" applyBorder="1" applyAlignment="1"/>
    <xf numFmtId="0" fontId="2" fillId="32" borderId="14" xfId="0" applyFont="1" applyFill="1" applyBorder="1" applyAlignment="1"/>
    <xf numFmtId="0" fontId="2" fillId="32" borderId="15" xfId="0" applyFont="1" applyFill="1" applyBorder="1" applyAlignment="1"/>
    <xf numFmtId="189" fontId="2" fillId="32" borderId="15" xfId="0" applyNumberFormat="1" applyFont="1" applyFill="1" applyBorder="1" applyAlignment="1"/>
    <xf numFmtId="188" fontId="2" fillId="32" borderId="15" xfId="0" applyNumberFormat="1" applyFont="1" applyFill="1" applyBorder="1" applyAlignment="1"/>
    <xf numFmtId="187" fontId="2" fillId="33" borderId="13" xfId="0" applyNumberFormat="1" applyFont="1" applyFill="1" applyBorder="1" applyAlignment="1"/>
    <xf numFmtId="0" fontId="1" fillId="33" borderId="14" xfId="0" applyFont="1" applyFill="1" applyBorder="1" applyAlignment="1"/>
    <xf numFmtId="187" fontId="2" fillId="33" borderId="14" xfId="0" applyNumberFormat="1" applyFont="1" applyFill="1" applyBorder="1" applyAlignment="1"/>
    <xf numFmtId="0" fontId="2" fillId="33" borderId="14" xfId="0" applyFont="1" applyFill="1" applyBorder="1" applyAlignment="1"/>
    <xf numFmtId="0" fontId="2" fillId="33" borderId="15" xfId="0" applyFont="1" applyFill="1" applyBorder="1" applyAlignment="1"/>
    <xf numFmtId="0" fontId="1" fillId="33" borderId="15" xfId="0" applyFont="1" applyFill="1" applyBorder="1" applyAlignment="1">
      <alignment horizontal="center" wrapText="1"/>
    </xf>
    <xf numFmtId="189" fontId="1" fillId="33" borderId="15" xfId="0" applyNumberFormat="1" applyFont="1" applyFill="1" applyBorder="1" applyAlignment="1">
      <alignment horizontal="right"/>
    </xf>
    <xf numFmtId="188" fontId="1" fillId="33" borderId="15" xfId="0" applyNumberFormat="1" applyFont="1" applyFill="1" applyBorder="1" applyAlignment="1">
      <alignment horizontal="right"/>
    </xf>
    <xf numFmtId="188" fontId="2" fillId="33" borderId="15" xfId="0" applyNumberFormat="1" applyFont="1" applyFill="1" applyBorder="1" applyAlignment="1"/>
    <xf numFmtId="187" fontId="2" fillId="2" borderId="8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5" fillId="0" borderId="9" xfId="0" applyFont="1" applyBorder="1" applyAlignment="1"/>
    <xf numFmtId="187" fontId="2" fillId="0" borderId="9" xfId="0" applyNumberFormat="1" applyFont="1" applyBorder="1" applyAlignment="1"/>
    <xf numFmtId="0" fontId="5" fillId="2" borderId="10" xfId="0" applyFont="1" applyFill="1" applyBorder="1" applyAlignment="1">
      <alignment horizontal="center" wrapText="1"/>
    </xf>
    <xf numFmtId="189" fontId="5" fillId="2" borderId="10" xfId="0" applyNumberFormat="1" applyFont="1" applyFill="1" applyBorder="1" applyAlignment="1">
      <alignment horizontal="right"/>
    </xf>
    <xf numFmtId="0" fontId="37" fillId="0" borderId="0" xfId="0" applyFont="1"/>
    <xf numFmtId="0" fontId="36" fillId="0" borderId="0" xfId="0" applyFont="1" applyAlignment="1"/>
    <xf numFmtId="0" fontId="38" fillId="0" borderId="0" xfId="0" applyFont="1"/>
    <xf numFmtId="0" fontId="1" fillId="8" borderId="5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1" fillId="9" borderId="8" xfId="0" applyFont="1" applyFill="1" applyBorder="1" applyAlignment="1"/>
    <xf numFmtId="0" fontId="3" fillId="0" borderId="9" xfId="0" applyFont="1" applyBorder="1"/>
    <xf numFmtId="0" fontId="3" fillId="0" borderId="10" xfId="0" applyFont="1" applyBorder="1"/>
    <xf numFmtId="0" fontId="1" fillId="8" borderId="8" xfId="0" applyFont="1" applyFill="1" applyBorder="1" applyAlignment="1"/>
    <xf numFmtId="0" fontId="1" fillId="15" borderId="5" xfId="0" applyFont="1" applyFill="1" applyBorder="1" applyAlignment="1"/>
    <xf numFmtId="0" fontId="1" fillId="16" borderId="14" xfId="0" applyFont="1" applyFill="1" applyBorder="1" applyAlignment="1"/>
    <xf numFmtId="0" fontId="3" fillId="0" borderId="14" xfId="0" applyFont="1" applyBorder="1"/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1" fillId="4" borderId="5" xfId="0" applyFont="1" applyFill="1" applyBorder="1" applyAlignment="1">
      <alignment horizontal="center"/>
    </xf>
    <xf numFmtId="188" fontId="1" fillId="5" borderId="5" xfId="0" applyNumberFormat="1" applyFont="1" applyFill="1" applyBorder="1" applyAlignment="1">
      <alignment horizontal="center" wrapText="1"/>
    </xf>
    <xf numFmtId="188" fontId="1" fillId="6" borderId="5" xfId="0" applyNumberFormat="1" applyFont="1" applyFill="1" applyBorder="1" applyAlignment="1">
      <alignment horizontal="center"/>
    </xf>
    <xf numFmtId="0" fontId="29" fillId="0" borderId="0" xfId="0" applyFont="1" applyAlignment="1"/>
    <xf numFmtId="0" fontId="31" fillId="0" borderId="0" xfId="0" applyFont="1" applyAlignment="1"/>
    <xf numFmtId="189" fontId="5" fillId="34" borderId="10" xfId="0" applyNumberFormat="1" applyFont="1" applyFill="1" applyBorder="1" applyAlignment="1">
      <alignment horizontal="right"/>
    </xf>
    <xf numFmtId="189" fontId="5" fillId="34" borderId="15" xfId="0" applyNumberFormat="1" applyFont="1" applyFill="1" applyBorder="1" applyAlignment="1">
      <alignment horizontal="right"/>
    </xf>
    <xf numFmtId="0" fontId="4" fillId="21" borderId="14" xfId="0" quotePrefix="1" applyFont="1" applyFill="1" applyBorder="1" applyAlignment="1"/>
    <xf numFmtId="0" fontId="6" fillId="2" borderId="14" xfId="0" applyFont="1" applyFill="1" applyBorder="1" applyAlignment="1"/>
    <xf numFmtId="0" fontId="4" fillId="2" borderId="14" xfId="0" applyFont="1" applyFill="1" applyBorder="1" applyAlignment="1"/>
    <xf numFmtId="188" fontId="2" fillId="31" borderId="10" xfId="0" applyNumberFormat="1" applyFont="1" applyFill="1" applyBorder="1" applyAlignment="1"/>
    <xf numFmtId="188" fontId="2" fillId="31" borderId="9" xfId="0" applyNumberFormat="1" applyFont="1" applyFill="1" applyBorder="1" applyAlignment="1"/>
    <xf numFmtId="189" fontId="2" fillId="31" borderId="9" xfId="0" applyNumberFormat="1" applyFont="1" applyFill="1" applyBorder="1" applyAlignment="1"/>
    <xf numFmtId="0" fontId="2" fillId="31" borderId="9" xfId="0" applyFont="1" applyFill="1" applyBorder="1" applyAlignment="1"/>
    <xf numFmtId="187" fontId="2" fillId="31" borderId="9" xfId="0" applyNumberFormat="1" applyFont="1" applyFill="1" applyBorder="1" applyAlignment="1"/>
    <xf numFmtId="187" fontId="1" fillId="31" borderId="8" xfId="0" applyNumberFormat="1" applyFont="1" applyFill="1" applyBorder="1" applyAlignment="1"/>
    <xf numFmtId="188" fontId="29" fillId="2" borderId="10" xfId="0" applyNumberFormat="1" applyFont="1" applyFill="1" applyBorder="1" applyAlignment="1"/>
    <xf numFmtId="189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29" fillId="2" borderId="9" xfId="0" applyFont="1" applyFill="1" applyBorder="1" applyAlignment="1"/>
    <xf numFmtId="187" fontId="31" fillId="2" borderId="9" xfId="0" applyNumberFormat="1" applyFont="1" applyFill="1" applyBorder="1" applyAlignment="1"/>
    <xf numFmtId="187" fontId="29" fillId="2" borderId="9" xfId="0" applyNumberFormat="1" applyFont="1" applyFill="1" applyBorder="1" applyAlignment="1"/>
    <xf numFmtId="188" fontId="29" fillId="0" borderId="15" xfId="0" applyNumberFormat="1" applyFont="1" applyBorder="1" applyAlignment="1"/>
    <xf numFmtId="191" fontId="22" fillId="2" borderId="15" xfId="0" applyNumberFormat="1" applyFont="1" applyFill="1" applyBorder="1" applyAlignment="1">
      <alignment horizontal="right"/>
    </xf>
    <xf numFmtId="0" fontId="22" fillId="0" borderId="15" xfId="0" applyFont="1" applyBorder="1" applyAlignment="1">
      <alignment horizontal="center"/>
    </xf>
    <xf numFmtId="0" fontId="29" fillId="0" borderId="15" xfId="0" applyFont="1" applyBorder="1" applyAlignment="1"/>
    <xf numFmtId="187" fontId="29" fillId="0" borderId="13" xfId="0" applyNumberFormat="1" applyFont="1" applyBorder="1" applyAlignment="1"/>
    <xf numFmtId="0" fontId="22" fillId="0" borderId="14" xfId="0" quotePrefix="1" applyFont="1" applyBorder="1" applyAlignment="1"/>
    <xf numFmtId="0" fontId="22" fillId="0" borderId="15" xfId="0" applyFont="1" applyBorder="1" applyAlignment="1">
      <alignment horizontal="center" wrapText="1"/>
    </xf>
    <xf numFmtId="0" fontId="29" fillId="21" borderId="15" xfId="0" applyFont="1" applyFill="1" applyBorder="1" applyAlignment="1"/>
    <xf numFmtId="0" fontId="29" fillId="21" borderId="14" xfId="0" applyFont="1" applyFill="1" applyBorder="1" applyAlignment="1"/>
    <xf numFmtId="0" fontId="30" fillId="21" borderId="14" xfId="0" quotePrefix="1" applyFont="1" applyFill="1" applyBorder="1" applyAlignment="1"/>
    <xf numFmtId="0" fontId="28" fillId="2" borderId="14" xfId="0" applyFont="1" applyFill="1" applyBorder="1" applyAlignment="1"/>
    <xf numFmtId="188" fontId="29" fillId="23" borderId="15" xfId="0" applyNumberFormat="1" applyFont="1" applyFill="1" applyBorder="1" applyAlignment="1"/>
    <xf numFmtId="0" fontId="28" fillId="23" borderId="15" xfId="0" applyFont="1" applyFill="1" applyBorder="1" applyAlignment="1">
      <alignment horizontal="center"/>
    </xf>
    <xf numFmtId="0" fontId="30" fillId="23" borderId="14" xfId="0" applyFont="1" applyFill="1" applyBorder="1" applyAlignment="1"/>
    <xf numFmtId="189" fontId="29" fillId="0" borderId="15" xfId="0" applyNumberFormat="1" applyFont="1" applyBorder="1" applyAlignment="1"/>
    <xf numFmtId="187" fontId="22" fillId="0" borderId="15" xfId="0" applyNumberFormat="1" applyFont="1" applyBorder="1" applyAlignment="1">
      <alignment horizontal="center"/>
    </xf>
    <xf numFmtId="190" fontId="29" fillId="2" borderId="13" xfId="0" applyNumberFormat="1" applyFont="1" applyFill="1" applyBorder="1" applyAlignment="1"/>
    <xf numFmtId="188" fontId="16" fillId="2" borderId="15" xfId="0" applyNumberFormat="1" applyFont="1" applyFill="1" applyBorder="1" applyAlignment="1">
      <alignment horizontal="right"/>
    </xf>
    <xf numFmtId="187" fontId="16" fillId="0" borderId="15" xfId="0" applyNumberFormat="1" applyFont="1" applyBorder="1" applyAlignment="1">
      <alignment horizontal="center" wrapText="1"/>
    </xf>
    <xf numFmtId="0" fontId="16" fillId="2" borderId="14" xfId="0" applyFont="1" applyFill="1" applyBorder="1" applyAlignment="1"/>
    <xf numFmtId="0" fontId="39" fillId="2" borderId="14" xfId="0" applyFont="1" applyFill="1" applyBorder="1" applyAlignment="1"/>
    <xf numFmtId="187" fontId="22" fillId="0" borderId="15" xfId="0" applyNumberFormat="1" applyFont="1" applyBorder="1" applyAlignment="1">
      <alignment horizontal="center" wrapText="1"/>
    </xf>
    <xf numFmtId="187" fontId="16" fillId="2" borderId="15" xfId="0" applyNumberFormat="1" applyFont="1" applyFill="1" applyBorder="1" applyAlignment="1">
      <alignment horizontal="center"/>
    </xf>
    <xf numFmtId="188" fontId="28" fillId="2" borderId="15" xfId="0" applyNumberFormat="1" applyFont="1" applyFill="1" applyBorder="1" applyAlignment="1">
      <alignment horizontal="right"/>
    </xf>
    <xf numFmtId="187" fontId="28" fillId="2" borderId="15" xfId="0" applyNumberFormat="1" applyFont="1" applyFill="1" applyBorder="1" applyAlignment="1">
      <alignment horizontal="center"/>
    </xf>
    <xf numFmtId="0" fontId="30" fillId="2" borderId="14" xfId="0" applyFont="1" applyFill="1" applyBorder="1" applyAlignment="1"/>
    <xf numFmtId="188" fontId="29" fillId="30" borderId="15" xfId="0" applyNumberFormat="1" applyFont="1" applyFill="1" applyBorder="1" applyAlignment="1"/>
    <xf numFmtId="189" fontId="29" fillId="30" borderId="15" xfId="0" applyNumberFormat="1" applyFont="1" applyFill="1" applyBorder="1" applyAlignment="1"/>
    <xf numFmtId="0" fontId="29" fillId="30" borderId="15" xfId="0" applyFont="1" applyFill="1" applyBorder="1" applyAlignment="1"/>
    <xf numFmtId="0" fontId="29" fillId="30" borderId="14" xfId="0" applyFont="1" applyFill="1" applyBorder="1" applyAlignment="1"/>
    <xf numFmtId="187" fontId="29" fillId="30" borderId="14" xfId="0" applyNumberFormat="1" applyFont="1" applyFill="1" applyBorder="1" applyAlignment="1"/>
    <xf numFmtId="0" fontId="28" fillId="30" borderId="14" xfId="0" applyFont="1" applyFill="1" applyBorder="1" applyAlignment="1"/>
    <xf numFmtId="187" fontId="29" fillId="30" borderId="13" xfId="0" applyNumberFormat="1" applyFont="1" applyFill="1" applyBorder="1" applyAlignment="1"/>
    <xf numFmtId="188" fontId="29" fillId="23" borderId="18" xfId="0" applyNumberFormat="1" applyFont="1" applyFill="1" applyBorder="1" applyAlignment="1"/>
    <xf numFmtId="0" fontId="28" fillId="21" borderId="14" xfId="0" applyFont="1" applyFill="1" applyBorder="1" applyAlignment="1"/>
    <xf numFmtId="0" fontId="28" fillId="30" borderId="15" xfId="0" applyFont="1" applyFill="1" applyBorder="1" applyAlignment="1">
      <alignment horizontal="center" wrapText="1"/>
    </xf>
    <xf numFmtId="188" fontId="29" fillId="29" borderId="15" xfId="0" applyNumberFormat="1" applyFont="1" applyFill="1" applyBorder="1" applyAlignment="1"/>
    <xf numFmtId="189" fontId="29" fillId="29" borderId="15" xfId="0" applyNumberFormat="1" applyFont="1" applyFill="1" applyBorder="1" applyAlignment="1"/>
    <xf numFmtId="0" fontId="29" fillId="29" borderId="14" xfId="0" applyFont="1" applyFill="1" applyBorder="1" applyAlignment="1"/>
    <xf numFmtId="187" fontId="29" fillId="29" borderId="14" xfId="0" applyNumberFormat="1" applyFont="1" applyFill="1" applyBorder="1" applyAlignment="1"/>
    <xf numFmtId="187" fontId="28" fillId="29" borderId="13" xfId="0" applyNumberFormat="1" applyFont="1" applyFill="1" applyBorder="1" applyAlignment="1"/>
    <xf numFmtId="189" fontId="22" fillId="34" borderId="15" xfId="0" applyNumberFormat="1" applyFont="1" applyFill="1" applyBorder="1" applyAlignment="1">
      <alignment horizontal="right"/>
    </xf>
    <xf numFmtId="0" fontId="22" fillId="2" borderId="15" xfId="0" applyFont="1" applyFill="1" applyBorder="1" applyAlignment="1">
      <alignment horizontal="center"/>
    </xf>
    <xf numFmtId="188" fontId="28" fillId="30" borderId="15" xfId="0" applyNumberFormat="1" applyFont="1" applyFill="1" applyBorder="1" applyAlignment="1">
      <alignment horizontal="right"/>
    </xf>
    <xf numFmtId="189" fontId="28" fillId="30" borderId="15" xfId="0" applyNumberFormat="1" applyFont="1" applyFill="1" applyBorder="1" applyAlignment="1">
      <alignment horizontal="right"/>
    </xf>
    <xf numFmtId="190" fontId="29" fillId="30" borderId="14" xfId="0" applyNumberFormat="1" applyFont="1" applyFill="1" applyBorder="1" applyAlignment="1"/>
    <xf numFmtId="190" fontId="29" fillId="30" borderId="13" xfId="0" applyNumberFormat="1" applyFont="1" applyFill="1" applyBorder="1" applyAlignment="1"/>
    <xf numFmtId="0" fontId="16" fillId="2" borderId="15" xfId="0" applyFont="1" applyFill="1" applyBorder="1" applyAlignment="1">
      <alignment horizontal="center"/>
    </xf>
    <xf numFmtId="0" fontId="29" fillId="29" borderId="15" xfId="0" applyFont="1" applyFill="1" applyBorder="1" applyAlignment="1"/>
    <xf numFmtId="188" fontId="29" fillId="28" borderId="10" xfId="0" applyNumberFormat="1" applyFont="1" applyFill="1" applyBorder="1" applyAlignment="1"/>
    <xf numFmtId="188" fontId="29" fillId="28" borderId="9" xfId="0" applyNumberFormat="1" applyFont="1" applyFill="1" applyBorder="1" applyAlignment="1"/>
    <xf numFmtId="189" fontId="29" fillId="28" borderId="9" xfId="0" applyNumberFormat="1" applyFont="1" applyFill="1" applyBorder="1" applyAlignment="1"/>
    <xf numFmtId="0" fontId="29" fillId="28" borderId="9" xfId="0" applyFont="1" applyFill="1" applyBorder="1" applyAlignment="1"/>
    <xf numFmtId="187" fontId="29" fillId="28" borderId="9" xfId="0" applyNumberFormat="1" applyFont="1" applyFill="1" applyBorder="1" applyAlignment="1"/>
    <xf numFmtId="187" fontId="28" fillId="28" borderId="8" xfId="0" applyNumberFormat="1" applyFont="1" applyFill="1" applyBorder="1" applyAlignment="1"/>
    <xf numFmtId="188" fontId="29" fillId="8" borderId="10" xfId="0" applyNumberFormat="1" applyFont="1" applyFill="1" applyBorder="1" applyAlignment="1"/>
    <xf numFmtId="189" fontId="29" fillId="8" borderId="10" xfId="0" applyNumberFormat="1" applyFont="1" applyFill="1" applyBorder="1" applyAlignment="1"/>
    <xf numFmtId="0" fontId="29" fillId="8" borderId="10" xfId="0" applyFont="1" applyFill="1" applyBorder="1" applyAlignment="1"/>
    <xf numFmtId="0" fontId="29" fillId="8" borderId="9" xfId="0" applyFont="1" applyFill="1" applyBorder="1" applyAlignment="1"/>
    <xf numFmtId="187" fontId="29" fillId="8" borderId="9" xfId="0" applyNumberFormat="1" applyFont="1" applyFill="1" applyBorder="1" applyAlignment="1"/>
    <xf numFmtId="187" fontId="29" fillId="8" borderId="8" xfId="0" applyNumberFormat="1" applyFont="1" applyFill="1" applyBorder="1" applyAlignment="1"/>
    <xf numFmtId="188" fontId="29" fillId="8" borderId="15" xfId="0" applyNumberFormat="1" applyFont="1" applyFill="1" applyBorder="1" applyAlignment="1"/>
    <xf numFmtId="189" fontId="29" fillId="8" borderId="15" xfId="0" applyNumberFormat="1" applyFont="1" applyFill="1" applyBorder="1" applyAlignment="1"/>
    <xf numFmtId="0" fontId="29" fillId="8" borderId="15" xfId="0" applyFont="1" applyFill="1" applyBorder="1" applyAlignment="1"/>
    <xf numFmtId="0" fontId="29" fillId="8" borderId="14" xfId="0" applyFont="1" applyFill="1" applyBorder="1" applyAlignment="1"/>
    <xf numFmtId="187" fontId="29" fillId="8" borderId="14" xfId="0" applyNumberFormat="1" applyFont="1" applyFill="1" applyBorder="1" applyAlignment="1"/>
    <xf numFmtId="187" fontId="29" fillId="8" borderId="13" xfId="0" applyNumberFormat="1" applyFont="1" applyFill="1" applyBorder="1" applyAlignment="1"/>
    <xf numFmtId="188" fontId="22" fillId="0" borderId="15" xfId="0" applyNumberFormat="1" applyFont="1" applyBorder="1" applyAlignment="1">
      <alignment horizontal="right"/>
    </xf>
    <xf numFmtId="189" fontId="22" fillId="0" borderId="15" xfId="0" applyNumberFormat="1" applyFont="1" applyBorder="1" applyAlignment="1">
      <alignment horizontal="right"/>
    </xf>
    <xf numFmtId="0" fontId="28" fillId="0" borderId="14" xfId="0" applyFont="1" applyBorder="1" applyAlignment="1"/>
    <xf numFmtId="188" fontId="28" fillId="0" borderId="15" xfId="0" applyNumberFormat="1" applyFont="1" applyBorder="1" applyAlignment="1">
      <alignment horizontal="right"/>
    </xf>
    <xf numFmtId="189" fontId="28" fillId="2" borderId="15" xfId="0" applyNumberFormat="1" applyFont="1" applyFill="1" applyBorder="1" applyAlignment="1">
      <alignment horizontal="right"/>
    </xf>
    <xf numFmtId="0" fontId="28" fillId="0" borderId="15" xfId="0" applyFont="1" applyBorder="1" applyAlignment="1">
      <alignment horizontal="center" wrapText="1"/>
    </xf>
    <xf numFmtId="188" fontId="29" fillId="27" borderId="15" xfId="0" applyNumberFormat="1" applyFont="1" applyFill="1" applyBorder="1" applyAlignment="1"/>
    <xf numFmtId="188" fontId="28" fillId="27" borderId="15" xfId="0" applyNumberFormat="1" applyFont="1" applyFill="1" applyBorder="1" applyAlignment="1">
      <alignment horizontal="right"/>
    </xf>
    <xf numFmtId="189" fontId="28" fillId="27" borderId="15" xfId="0" applyNumberFormat="1" applyFont="1" applyFill="1" applyBorder="1" applyAlignment="1">
      <alignment horizontal="right"/>
    </xf>
    <xf numFmtId="0" fontId="28" fillId="27" borderId="15" xfId="0" applyFont="1" applyFill="1" applyBorder="1" applyAlignment="1">
      <alignment horizontal="center" wrapText="1"/>
    </xf>
    <xf numFmtId="0" fontId="29" fillId="27" borderId="15" xfId="0" applyFont="1" applyFill="1" applyBorder="1" applyAlignment="1"/>
    <xf numFmtId="0" fontId="29" fillId="27" borderId="14" xfId="0" applyFont="1" applyFill="1" applyBorder="1" applyAlignment="1"/>
    <xf numFmtId="187" fontId="29" fillId="27" borderId="14" xfId="0" applyNumberFormat="1" applyFont="1" applyFill="1" applyBorder="1" applyAlignment="1"/>
    <xf numFmtId="190" fontId="29" fillId="27" borderId="13" xfId="0" applyNumberFormat="1" applyFont="1" applyFill="1" applyBorder="1" applyAlignment="1"/>
    <xf numFmtId="0" fontId="28" fillId="27" borderId="14" xfId="0" applyFont="1" applyFill="1" applyBorder="1" applyAlignment="1"/>
    <xf numFmtId="188" fontId="29" fillId="26" borderId="15" xfId="0" applyNumberFormat="1" applyFont="1" applyFill="1" applyBorder="1" applyAlignment="1"/>
    <xf numFmtId="189" fontId="29" fillId="26" borderId="15" xfId="0" applyNumberFormat="1" applyFont="1" applyFill="1" applyBorder="1" applyAlignment="1"/>
    <xf numFmtId="189" fontId="29" fillId="26" borderId="14" xfId="0" applyNumberFormat="1" applyFont="1" applyFill="1" applyBorder="1" applyAlignment="1"/>
    <xf numFmtId="0" fontId="29" fillId="26" borderId="14" xfId="0" applyFont="1" applyFill="1" applyBorder="1" applyAlignment="1"/>
    <xf numFmtId="187" fontId="29" fillId="26" borderId="14" xfId="0" applyNumberFormat="1" applyFont="1" applyFill="1" applyBorder="1" applyAlignment="1"/>
    <xf numFmtId="187" fontId="28" fillId="26" borderId="13" xfId="0" applyNumberFormat="1" applyFont="1" applyFill="1" applyBorder="1" applyAlignment="1"/>
    <xf numFmtId="188" fontId="29" fillId="25" borderId="10" xfId="0" applyNumberFormat="1" applyFont="1" applyFill="1" applyBorder="1" applyAlignment="1"/>
    <xf numFmtId="188" fontId="29" fillId="25" borderId="9" xfId="0" applyNumberFormat="1" applyFont="1" applyFill="1" applyBorder="1" applyAlignment="1"/>
    <xf numFmtId="189" fontId="29" fillId="25" borderId="9" xfId="0" applyNumberFormat="1" applyFont="1" applyFill="1" applyBorder="1" applyAlignment="1"/>
    <xf numFmtId="0" fontId="29" fillId="25" borderId="9" xfId="0" applyFont="1" applyFill="1" applyBorder="1" applyAlignment="1"/>
    <xf numFmtId="187" fontId="29" fillId="25" borderId="9" xfId="0" applyNumberFormat="1" applyFont="1" applyFill="1" applyBorder="1" applyAlignment="1"/>
    <xf numFmtId="187" fontId="26" fillId="25" borderId="8" xfId="0" applyNumberFormat="1" applyFont="1" applyFill="1" applyBorder="1" applyAlignment="1"/>
    <xf numFmtId="188" fontId="29" fillId="0" borderId="10" xfId="0" applyNumberFormat="1" applyFont="1" applyBorder="1" applyAlignment="1"/>
    <xf numFmtId="188" fontId="16" fillId="0" borderId="10" xfId="0" applyNumberFormat="1" applyFont="1" applyBorder="1" applyAlignment="1">
      <alignment horizontal="right"/>
    </xf>
    <xf numFmtId="189" fontId="16" fillId="2" borderId="10" xfId="0" applyNumberFormat="1" applyFont="1" applyFill="1" applyBorder="1" applyAlignment="1">
      <alignment horizontal="right"/>
    </xf>
    <xf numFmtId="0" fontId="16" fillId="2" borderId="10" xfId="0" applyFont="1" applyFill="1" applyBorder="1" applyAlignment="1">
      <alignment horizontal="center"/>
    </xf>
    <xf numFmtId="0" fontId="29" fillId="0" borderId="10" xfId="0" applyFont="1" applyBorder="1" applyAlignment="1"/>
    <xf numFmtId="0" fontId="29" fillId="0" borderId="9" xfId="0" applyFont="1" applyBorder="1" applyAlignment="1"/>
    <xf numFmtId="0" fontId="16" fillId="0" borderId="9" xfId="0" quotePrefix="1" applyFont="1" applyBorder="1" applyAlignment="1"/>
    <xf numFmtId="187" fontId="29" fillId="0" borderId="9" xfId="0" applyNumberFormat="1" applyFont="1" applyBorder="1" applyAlignment="1"/>
    <xf numFmtId="187" fontId="29" fillId="0" borderId="8" xfId="0" applyNumberFormat="1" applyFont="1" applyBorder="1" applyAlignment="1"/>
    <xf numFmtId="0" fontId="23" fillId="21" borderId="14" xfId="0" quotePrefix="1" applyFont="1" applyFill="1" applyBorder="1" applyAlignment="1"/>
    <xf numFmtId="187" fontId="16" fillId="0" borderId="15" xfId="0" applyNumberFormat="1" applyFont="1" applyBorder="1" applyAlignment="1">
      <alignment horizontal="center"/>
    </xf>
    <xf numFmtId="0" fontId="40" fillId="2" borderId="14" xfId="0" applyFont="1" applyFill="1" applyBorder="1" applyAlignment="1"/>
    <xf numFmtId="188" fontId="17" fillId="2" borderId="15" xfId="0" applyNumberFormat="1" applyFont="1" applyFill="1" applyBorder="1" applyAlignment="1">
      <alignment horizontal="right"/>
    </xf>
    <xf numFmtId="187" fontId="17" fillId="2" borderId="15" xfId="0" applyNumberFormat="1" applyFont="1" applyFill="1" applyBorder="1" applyAlignment="1">
      <alignment horizontal="center"/>
    </xf>
    <xf numFmtId="0" fontId="23" fillId="2" borderId="14" xfId="0" applyFont="1" applyFill="1" applyBorder="1" applyAlignment="1"/>
    <xf numFmtId="0" fontId="17" fillId="2" borderId="14" xfId="0" applyFont="1" applyFill="1" applyBorder="1" applyAlignment="1"/>
    <xf numFmtId="188" fontId="29" fillId="21" borderId="15" xfId="0" applyNumberFormat="1" applyFont="1" applyFill="1" applyBorder="1" applyAlignment="1"/>
    <xf numFmtId="188" fontId="17" fillId="21" borderId="15" xfId="0" applyNumberFormat="1" applyFont="1" applyFill="1" applyBorder="1" applyAlignment="1">
      <alignment horizontal="right"/>
    </xf>
    <xf numFmtId="189" fontId="29" fillId="21" borderId="15" xfId="0" applyNumberFormat="1" applyFont="1" applyFill="1" applyBorder="1" applyAlignment="1"/>
    <xf numFmtId="0" fontId="17" fillId="21" borderId="15" xfId="0" applyFont="1" applyFill="1" applyBorder="1" applyAlignment="1">
      <alignment horizontal="center" wrapText="1"/>
    </xf>
    <xf numFmtId="187" fontId="29" fillId="21" borderId="14" xfId="0" applyNumberFormat="1" applyFont="1" applyFill="1" applyBorder="1" applyAlignment="1"/>
    <xf numFmtId="0" fontId="17" fillId="21" borderId="14" xfId="0" applyFont="1" applyFill="1" applyBorder="1" applyAlignment="1"/>
    <xf numFmtId="187" fontId="29" fillId="21" borderId="13" xfId="0" applyNumberFormat="1" applyFont="1" applyFill="1" applyBorder="1" applyAlignment="1"/>
    <xf numFmtId="188" fontId="29" fillId="22" borderId="15" xfId="0" applyNumberFormat="1" applyFont="1" applyFill="1" applyBorder="1" applyAlignment="1"/>
    <xf numFmtId="189" fontId="29" fillId="22" borderId="15" xfId="0" applyNumberFormat="1" applyFont="1" applyFill="1" applyBorder="1" applyAlignment="1"/>
    <xf numFmtId="0" fontId="29" fillId="22" borderId="15" xfId="0" applyFont="1" applyFill="1" applyBorder="1" applyAlignment="1"/>
    <xf numFmtId="0" fontId="29" fillId="22" borderId="14" xfId="0" applyFont="1" applyFill="1" applyBorder="1" applyAlignment="1"/>
    <xf numFmtId="187" fontId="29" fillId="22" borderId="14" xfId="0" applyNumberFormat="1" applyFont="1" applyFill="1" applyBorder="1" applyAlignment="1"/>
    <xf numFmtId="187" fontId="17" fillId="22" borderId="13" xfId="0" applyNumberFormat="1" applyFont="1" applyFill="1" applyBorder="1" applyAlignment="1"/>
    <xf numFmtId="189" fontId="16" fillId="34" borderId="15" xfId="0" applyNumberFormat="1" applyFont="1" applyFill="1" applyBorder="1" applyAlignment="1">
      <alignment horizontal="right"/>
    </xf>
    <xf numFmtId="0" fontId="16" fillId="0" borderId="15" xfId="0" applyFont="1" applyBorder="1" applyAlignment="1">
      <alignment horizontal="center"/>
    </xf>
    <xf numFmtId="0" fontId="16" fillId="0" borderId="14" xfId="0" quotePrefix="1" applyFont="1" applyBorder="1" applyAlignment="1"/>
    <xf numFmtId="187" fontId="16" fillId="0" borderId="14" xfId="0" quotePrefix="1" applyNumberFormat="1" applyFont="1" applyBorder="1" applyAlignment="1"/>
    <xf numFmtId="0" fontId="16" fillId="0" borderId="14" xfId="0" applyFont="1" applyBorder="1" applyAlignment="1"/>
    <xf numFmtId="187" fontId="17" fillId="2" borderId="14" xfId="0" applyNumberFormat="1" applyFont="1" applyFill="1" applyBorder="1" applyAlignment="1"/>
    <xf numFmtId="188" fontId="16" fillId="34" borderId="15" xfId="0" applyNumberFormat="1" applyFont="1" applyFill="1" applyBorder="1" applyAlignment="1">
      <alignment horizontal="right"/>
    </xf>
    <xf numFmtId="187" fontId="17" fillId="0" borderId="15" xfId="0" applyNumberFormat="1" applyFont="1" applyBorder="1" applyAlignment="1">
      <alignment horizontal="center" wrapText="1"/>
    </xf>
    <xf numFmtId="0" fontId="23" fillId="2" borderId="14" xfId="0" quotePrefix="1" applyFont="1" applyFill="1" applyBorder="1" applyAlignment="1"/>
    <xf numFmtId="188" fontId="17" fillId="23" borderId="15" xfId="0" applyNumberFormat="1" applyFont="1" applyFill="1" applyBorder="1" applyAlignment="1">
      <alignment horizontal="right"/>
    </xf>
    <xf numFmtId="189" fontId="17" fillId="23" borderId="15" xfId="0" applyNumberFormat="1" applyFont="1" applyFill="1" applyBorder="1" applyAlignment="1">
      <alignment horizontal="right"/>
    </xf>
    <xf numFmtId="0" fontId="17" fillId="23" borderId="15" xfId="0" applyFont="1" applyFill="1" applyBorder="1" applyAlignment="1">
      <alignment horizontal="center" wrapText="1"/>
    </xf>
    <xf numFmtId="0" fontId="17" fillId="23" borderId="14" xfId="0" applyFont="1" applyFill="1" applyBorder="1" applyAlignment="1"/>
    <xf numFmtId="188" fontId="15" fillId="2" borderId="15" xfId="0" applyNumberFormat="1" applyFont="1" applyFill="1" applyBorder="1" applyAlignment="1"/>
    <xf numFmtId="0" fontId="15" fillId="0" borderId="15" xfId="0" applyFont="1" applyBorder="1" applyAlignment="1"/>
    <xf numFmtId="0" fontId="15" fillId="0" borderId="14" xfId="0" applyFont="1" applyBorder="1" applyAlignment="1"/>
    <xf numFmtId="187" fontId="15" fillId="0" borderId="14" xfId="0" applyNumberFormat="1" applyFont="1" applyBorder="1" applyAlignment="1"/>
    <xf numFmtId="187" fontId="15" fillId="0" borderId="13" xfId="0" applyNumberFormat="1" applyFont="1" applyBorder="1" applyAlignment="1"/>
    <xf numFmtId="188" fontId="15" fillId="0" borderId="15" xfId="0" applyNumberFormat="1" applyFont="1" applyBorder="1" applyAlignment="1"/>
    <xf numFmtId="189" fontId="15" fillId="0" borderId="15" xfId="0" applyNumberFormat="1" applyFont="1" applyBorder="1" applyAlignment="1"/>
    <xf numFmtId="0" fontId="15" fillId="21" borderId="15" xfId="0" applyFont="1" applyFill="1" applyBorder="1" applyAlignment="1"/>
    <xf numFmtId="0" fontId="15" fillId="21" borderId="14" xfId="0" applyFont="1" applyFill="1" applyBorder="1" applyAlignment="1"/>
    <xf numFmtId="0" fontId="15" fillId="2" borderId="15" xfId="0" applyFont="1" applyFill="1" applyBorder="1" applyAlignment="1"/>
    <xf numFmtId="0" fontId="15" fillId="2" borderId="14" xfId="0" applyFont="1" applyFill="1" applyBorder="1" applyAlignment="1"/>
    <xf numFmtId="187" fontId="15" fillId="2" borderId="14" xfId="0" applyNumberFormat="1" applyFont="1" applyFill="1" applyBorder="1" applyAlignment="1"/>
    <xf numFmtId="187" fontId="15" fillId="2" borderId="13" xfId="0" applyNumberFormat="1" applyFont="1" applyFill="1" applyBorder="1" applyAlignment="1"/>
    <xf numFmtId="190" fontId="15" fillId="2" borderId="13" xfId="0" applyNumberFormat="1" applyFont="1" applyFill="1" applyBorder="1" applyAlignment="1"/>
    <xf numFmtId="188" fontId="15" fillId="23" borderId="15" xfId="0" applyNumberFormat="1" applyFont="1" applyFill="1" applyBorder="1" applyAlignment="1"/>
    <xf numFmtId="0" fontId="15" fillId="23" borderId="15" xfId="0" applyFont="1" applyFill="1" applyBorder="1" applyAlignment="1"/>
    <xf numFmtId="0" fontId="15" fillId="23" borderId="14" xfId="0" applyFont="1" applyFill="1" applyBorder="1" applyAlignment="1"/>
    <xf numFmtId="187" fontId="15" fillId="23" borderId="14" xfId="0" applyNumberFormat="1" applyFont="1" applyFill="1" applyBorder="1" applyAlignment="1"/>
    <xf numFmtId="187" fontId="15" fillId="23" borderId="13" xfId="0" applyNumberFormat="1" applyFont="1" applyFill="1" applyBorder="1" applyAlignment="1"/>
    <xf numFmtId="187" fontId="28" fillId="2" borderId="14" xfId="0" applyNumberFormat="1" applyFont="1" applyFill="1" applyBorder="1" applyAlignment="1"/>
    <xf numFmtId="188" fontId="22" fillId="34" borderId="15" xfId="0" applyNumberFormat="1" applyFont="1" applyFill="1" applyBorder="1" applyAlignment="1">
      <alignment horizontal="right"/>
    </xf>
    <xf numFmtId="187" fontId="28" fillId="0" borderId="15" xfId="0" applyNumberFormat="1" applyFont="1" applyBorder="1" applyAlignment="1">
      <alignment horizontal="center" wrapText="1"/>
    </xf>
    <xf numFmtId="0" fontId="30" fillId="2" borderId="14" xfId="0" quotePrefix="1" applyFont="1" applyFill="1" applyBorder="1" applyAlignment="1"/>
    <xf numFmtId="0" fontId="28" fillId="23" borderId="14" xfId="0" applyFont="1" applyFill="1" applyBorder="1" applyAlignment="1"/>
    <xf numFmtId="0" fontId="22" fillId="0" borderId="15" xfId="0" applyFont="1" applyBorder="1" applyAlignment="1"/>
    <xf numFmtId="188" fontId="28" fillId="34" borderId="15" xfId="0" applyNumberFormat="1" applyFont="1" applyFill="1" applyBorder="1" applyAlignment="1">
      <alignment horizontal="right"/>
    </xf>
    <xf numFmtId="188" fontId="28" fillId="21" borderId="15" xfId="0" applyNumberFormat="1" applyFont="1" applyFill="1" applyBorder="1" applyAlignment="1">
      <alignment horizontal="right"/>
    </xf>
    <xf numFmtId="189" fontId="28" fillId="21" borderId="15" xfId="0" applyNumberFormat="1" applyFont="1" applyFill="1" applyBorder="1" applyAlignment="1">
      <alignment horizontal="right"/>
    </xf>
    <xf numFmtId="0" fontId="28" fillId="21" borderId="15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187" fontId="16" fillId="2" borderId="14" xfId="0" applyNumberFormat="1" applyFont="1" applyFill="1" applyBorder="1" applyAlignment="1"/>
    <xf numFmtId="187" fontId="22" fillId="2" borderId="14" xfId="0" applyNumberFormat="1" applyFont="1" applyFill="1" applyBorder="1" applyAlignment="1"/>
    <xf numFmtId="187" fontId="29" fillId="0" borderId="15" xfId="0" applyNumberFormat="1" applyFont="1" applyBorder="1" applyAlignment="1"/>
    <xf numFmtId="187" fontId="28" fillId="22" borderId="13" xfId="0" applyNumberFormat="1" applyFont="1" applyFill="1" applyBorder="1" applyAlignment="1"/>
    <xf numFmtId="188" fontId="29" fillId="7" borderId="10" xfId="0" applyNumberFormat="1" applyFont="1" applyFill="1" applyBorder="1" applyAlignment="1"/>
    <xf numFmtId="188" fontId="29" fillId="7" borderId="9" xfId="0" applyNumberFormat="1" applyFont="1" applyFill="1" applyBorder="1" applyAlignment="1"/>
    <xf numFmtId="189" fontId="29" fillId="7" borderId="9" xfId="0" applyNumberFormat="1" applyFont="1" applyFill="1" applyBorder="1" applyAlignment="1"/>
    <xf numFmtId="0" fontId="29" fillId="7" borderId="9" xfId="0" applyFont="1" applyFill="1" applyBorder="1" applyAlignment="1"/>
    <xf numFmtId="187" fontId="29" fillId="7" borderId="9" xfId="0" applyNumberFormat="1" applyFont="1" applyFill="1" applyBorder="1" applyAlignment="1"/>
    <xf numFmtId="187" fontId="28" fillId="7" borderId="8" xfId="0" applyNumberFormat="1" applyFont="1" applyFill="1" applyBorder="1" applyAlignment="1"/>
    <xf numFmtId="188" fontId="16" fillId="2" borderId="10" xfId="0" applyNumberFormat="1" applyFont="1" applyFill="1" applyBorder="1" applyAlignment="1">
      <alignment horizontal="right"/>
    </xf>
    <xf numFmtId="189" fontId="16" fillId="34" borderId="10" xfId="0" applyNumberFormat="1" applyFont="1" applyFill="1" applyBorder="1" applyAlignment="1">
      <alignment horizontal="right"/>
    </xf>
    <xf numFmtId="187" fontId="16" fillId="0" borderId="10" xfId="0" applyNumberFormat="1" applyFont="1" applyBorder="1" applyAlignment="1">
      <alignment horizontal="center"/>
    </xf>
    <xf numFmtId="0" fontId="16" fillId="2" borderId="9" xfId="0" applyFont="1" applyFill="1" applyBorder="1" applyAlignment="1"/>
    <xf numFmtId="190" fontId="29" fillId="2" borderId="8" xfId="0" applyNumberFormat="1" applyFont="1" applyFill="1" applyBorder="1" applyAlignment="1"/>
    <xf numFmtId="188" fontId="29" fillId="10" borderId="15" xfId="0" applyNumberFormat="1" applyFont="1" applyFill="1" applyBorder="1" applyAlignment="1"/>
    <xf numFmtId="188" fontId="28" fillId="10" borderId="15" xfId="0" applyNumberFormat="1" applyFont="1" applyFill="1" applyBorder="1" applyAlignment="1">
      <alignment horizontal="right"/>
    </xf>
    <xf numFmtId="189" fontId="28" fillId="10" borderId="15" xfId="0" applyNumberFormat="1" applyFont="1" applyFill="1" applyBorder="1" applyAlignment="1">
      <alignment horizontal="right"/>
    </xf>
    <xf numFmtId="187" fontId="28" fillId="10" borderId="15" xfId="0" applyNumberFormat="1" applyFont="1" applyFill="1" applyBorder="1" applyAlignment="1">
      <alignment horizontal="center"/>
    </xf>
    <xf numFmtId="0" fontId="29" fillId="10" borderId="15" xfId="0" applyFont="1" applyFill="1" applyBorder="1" applyAlignment="1"/>
    <xf numFmtId="0" fontId="29" fillId="10" borderId="14" xfId="0" applyFont="1" applyFill="1" applyBorder="1" applyAlignment="1"/>
    <xf numFmtId="0" fontId="28" fillId="10" borderId="14" xfId="0" applyFont="1" applyFill="1" applyBorder="1" applyAlignment="1"/>
    <xf numFmtId="190" fontId="29" fillId="10" borderId="13" xfId="0" applyNumberFormat="1" applyFont="1" applyFill="1" applyBorder="1" applyAlignment="1"/>
    <xf numFmtId="188" fontId="29" fillId="20" borderId="15" xfId="0" applyNumberFormat="1" applyFont="1" applyFill="1" applyBorder="1" applyAlignment="1"/>
    <xf numFmtId="188" fontId="29" fillId="20" borderId="14" xfId="0" applyNumberFormat="1" applyFont="1" applyFill="1" applyBorder="1" applyAlignment="1"/>
    <xf numFmtId="189" fontId="29" fillId="20" borderId="14" xfId="0" applyNumberFormat="1" applyFont="1" applyFill="1" applyBorder="1" applyAlignment="1"/>
    <xf numFmtId="0" fontId="29" fillId="20" borderId="14" xfId="0" applyFont="1" applyFill="1" applyBorder="1" applyAlignment="1"/>
    <xf numFmtId="190" fontId="29" fillId="20" borderId="14" xfId="0" applyNumberFormat="1" applyFont="1" applyFill="1" applyBorder="1" applyAlignment="1"/>
    <xf numFmtId="187" fontId="28" fillId="20" borderId="13" xfId="0" applyNumberFormat="1" applyFont="1" applyFill="1" applyBorder="1" applyAlignment="1"/>
    <xf numFmtId="0" fontId="28" fillId="10" borderId="15" xfId="0" applyFont="1" applyFill="1" applyBorder="1" applyAlignment="1">
      <alignment horizontal="center" wrapText="1"/>
    </xf>
    <xf numFmtId="187" fontId="29" fillId="10" borderId="14" xfId="0" applyNumberFormat="1" applyFont="1" applyFill="1" applyBorder="1" applyAlignment="1"/>
    <xf numFmtId="190" fontId="29" fillId="10" borderId="14" xfId="0" applyNumberFormat="1" applyFont="1" applyFill="1" applyBorder="1" applyAlignment="1"/>
    <xf numFmtId="190" fontId="28" fillId="10" borderId="14" xfId="0" applyNumberFormat="1" applyFont="1" applyFill="1" applyBorder="1" applyAlignment="1"/>
    <xf numFmtId="189" fontId="29" fillId="10" borderId="15" xfId="0" applyNumberFormat="1" applyFont="1" applyFill="1" applyBorder="1" applyAlignment="1"/>
    <xf numFmtId="189" fontId="29" fillId="10" borderId="14" xfId="0" applyNumberFormat="1" applyFont="1" applyFill="1" applyBorder="1" applyAlignment="1"/>
    <xf numFmtId="188" fontId="22" fillId="8" borderId="15" xfId="0" applyNumberFormat="1" applyFont="1" applyFill="1" applyBorder="1" applyAlignment="1">
      <alignment horizontal="right"/>
    </xf>
    <xf numFmtId="187" fontId="22" fillId="8" borderId="15" xfId="0" applyNumberFormat="1" applyFont="1" applyFill="1" applyBorder="1" applyAlignment="1">
      <alignment horizontal="center"/>
    </xf>
    <xf numFmtId="0" fontId="22" fillId="8" borderId="14" xfId="0" applyFont="1" applyFill="1" applyBorder="1" applyAlignment="1"/>
    <xf numFmtId="190" fontId="29" fillId="8" borderId="13" xfId="0" applyNumberFormat="1" applyFont="1" applyFill="1" applyBorder="1" applyAlignment="1"/>
    <xf numFmtId="0" fontId="39" fillId="8" borderId="14" xfId="0" applyFont="1" applyFill="1" applyBorder="1" applyAlignment="1"/>
    <xf numFmtId="187" fontId="22" fillId="8" borderId="15" xfId="0" applyNumberFormat="1" applyFont="1" applyFill="1" applyBorder="1" applyAlignment="1">
      <alignment horizontal="center" wrapText="1"/>
    </xf>
    <xf numFmtId="188" fontId="28" fillId="8" borderId="15" xfId="0" applyNumberFormat="1" applyFont="1" applyFill="1" applyBorder="1" applyAlignment="1">
      <alignment horizontal="right"/>
    </xf>
    <xf numFmtId="187" fontId="28" fillId="8" borderId="15" xfId="0" applyNumberFormat="1" applyFont="1" applyFill="1" applyBorder="1" applyAlignment="1">
      <alignment horizontal="center"/>
    </xf>
    <xf numFmtId="0" fontId="30" fillId="8" borderId="14" xfId="0" applyFont="1" applyFill="1" applyBorder="1" applyAlignment="1"/>
    <xf numFmtId="0" fontId="28" fillId="8" borderId="14" xfId="0" applyFont="1" applyFill="1" applyBorder="1" applyAlignment="1"/>
    <xf numFmtId="189" fontId="22" fillId="8" borderId="15" xfId="0" applyNumberFormat="1" applyFont="1" applyFill="1" applyBorder="1" applyAlignment="1">
      <alignment horizontal="right"/>
    </xf>
    <xf numFmtId="190" fontId="29" fillId="8" borderId="14" xfId="0" applyNumberFormat="1" applyFont="1" applyFill="1" applyBorder="1" applyAlignment="1"/>
    <xf numFmtId="188" fontId="29" fillId="8" borderId="14" xfId="0" applyNumberFormat="1" applyFont="1" applyFill="1" applyBorder="1" applyAlignment="1"/>
    <xf numFmtId="189" fontId="29" fillId="8" borderId="14" xfId="0" applyNumberFormat="1" applyFont="1" applyFill="1" applyBorder="1" applyAlignment="1"/>
    <xf numFmtId="187" fontId="28" fillId="8" borderId="13" xfId="0" applyNumberFormat="1" applyFont="1" applyFill="1" applyBorder="1" applyAlignment="1"/>
    <xf numFmtId="189" fontId="29" fillId="20" borderId="15" xfId="0" applyNumberFormat="1" applyFont="1" applyFill="1" applyBorder="1" applyAlignment="1"/>
    <xf numFmtId="0" fontId="29" fillId="20" borderId="15" xfId="0" applyFont="1" applyFill="1" applyBorder="1" applyAlignment="1"/>
    <xf numFmtId="187" fontId="29" fillId="20" borderId="14" xfId="0" applyNumberFormat="1" applyFont="1" applyFill="1" applyBorder="1" applyAlignment="1"/>
    <xf numFmtId="188" fontId="29" fillId="19" borderId="10" xfId="0" applyNumberFormat="1" applyFont="1" applyFill="1" applyBorder="1" applyAlignment="1"/>
    <xf numFmtId="188" fontId="29" fillId="19" borderId="9" xfId="0" applyNumberFormat="1" applyFont="1" applyFill="1" applyBorder="1" applyAlignment="1"/>
    <xf numFmtId="189" fontId="29" fillId="19" borderId="9" xfId="0" applyNumberFormat="1" applyFont="1" applyFill="1" applyBorder="1" applyAlignment="1"/>
    <xf numFmtId="0" fontId="29" fillId="19" borderId="9" xfId="0" applyFont="1" applyFill="1" applyBorder="1" applyAlignment="1"/>
    <xf numFmtId="187" fontId="29" fillId="19" borderId="9" xfId="0" applyNumberFormat="1" applyFont="1" applyFill="1" applyBorder="1" applyAlignment="1"/>
    <xf numFmtId="187" fontId="28" fillId="19" borderId="8" xfId="0" applyNumberFormat="1" applyFont="1" applyFill="1" applyBorder="1" applyAlignment="1"/>
    <xf numFmtId="188" fontId="22" fillId="2" borderId="10" xfId="0" applyNumberFormat="1" applyFont="1" applyFill="1" applyBorder="1" applyAlignment="1">
      <alignment horizontal="right"/>
    </xf>
    <xf numFmtId="0" fontId="22" fillId="2" borderId="10" xfId="0" applyFont="1" applyFill="1" applyBorder="1" applyAlignment="1">
      <alignment horizontal="center"/>
    </xf>
    <xf numFmtId="0" fontId="22" fillId="2" borderId="9" xfId="0" applyFont="1" applyFill="1" applyBorder="1" applyAlignment="1"/>
    <xf numFmtId="0" fontId="29" fillId="2" borderId="8" xfId="0" applyFont="1" applyFill="1" applyBorder="1" applyAlignment="1"/>
    <xf numFmtId="0" fontId="29" fillId="2" borderId="13" xfId="0" applyFont="1" applyFill="1" applyBorder="1" applyAlignment="1"/>
    <xf numFmtId="188" fontId="22" fillId="18" borderId="15" xfId="0" applyNumberFormat="1" applyFont="1" applyFill="1" applyBorder="1" applyAlignment="1">
      <alignment horizontal="right"/>
    </xf>
    <xf numFmtId="188" fontId="29" fillId="18" borderId="15" xfId="0" applyNumberFormat="1" applyFont="1" applyFill="1" applyBorder="1" applyAlignment="1"/>
    <xf numFmtId="189" fontId="29" fillId="18" borderId="15" xfId="0" applyNumberFormat="1" applyFont="1" applyFill="1" applyBorder="1" applyAlignment="1"/>
    <xf numFmtId="0" fontId="22" fillId="18" borderId="15" xfId="0" applyFont="1" applyFill="1" applyBorder="1" applyAlignment="1">
      <alignment horizontal="center"/>
    </xf>
    <xf numFmtId="0" fontId="29" fillId="18" borderId="15" xfId="0" applyFont="1" applyFill="1" applyBorder="1" applyAlignment="1"/>
    <xf numFmtId="0" fontId="29" fillId="18" borderId="14" xfId="0" applyFont="1" applyFill="1" applyBorder="1" applyAlignment="1"/>
    <xf numFmtId="0" fontId="22" fillId="18" borderId="14" xfId="0" applyFont="1" applyFill="1" applyBorder="1" applyAlignment="1"/>
    <xf numFmtId="0" fontId="29" fillId="18" borderId="13" xfId="0" applyFont="1" applyFill="1" applyBorder="1" applyAlignment="1"/>
    <xf numFmtId="188" fontId="16" fillId="18" borderId="15" xfId="0" applyNumberFormat="1" applyFont="1" applyFill="1" applyBorder="1" applyAlignment="1">
      <alignment horizontal="right"/>
    </xf>
    <xf numFmtId="0" fontId="16" fillId="18" borderId="15" xfId="0" applyFont="1" applyFill="1" applyBorder="1" applyAlignment="1">
      <alignment horizontal="center"/>
    </xf>
    <xf numFmtId="0" fontId="16" fillId="18" borderId="14" xfId="0" applyFont="1" applyFill="1" applyBorder="1" applyAlignment="1"/>
    <xf numFmtId="188" fontId="28" fillId="18" borderId="15" xfId="0" applyNumberFormat="1" applyFont="1" applyFill="1" applyBorder="1" applyAlignment="1">
      <alignment horizontal="right"/>
    </xf>
    <xf numFmtId="0" fontId="28" fillId="18" borderId="15" xfId="0" applyFont="1" applyFill="1" applyBorder="1" applyAlignment="1">
      <alignment horizontal="center"/>
    </xf>
    <xf numFmtId="0" fontId="30" fillId="18" borderId="14" xfId="0" applyFont="1" applyFill="1" applyBorder="1" applyAlignment="1"/>
    <xf numFmtId="0" fontId="28" fillId="18" borderId="14" xfId="0" applyFont="1" applyFill="1" applyBorder="1" applyAlignment="1"/>
    <xf numFmtId="188" fontId="29" fillId="17" borderId="15" xfId="0" applyNumberFormat="1" applyFont="1" applyFill="1" applyBorder="1" applyAlignment="1"/>
    <xf numFmtId="189" fontId="29" fillId="17" borderId="15" xfId="0" applyNumberFormat="1" applyFont="1" applyFill="1" applyBorder="1" applyAlignment="1"/>
    <xf numFmtId="0" fontId="29" fillId="17" borderId="15" xfId="0" applyFont="1" applyFill="1" applyBorder="1" applyAlignment="1"/>
    <xf numFmtId="0" fontId="29" fillId="17" borderId="14" xfId="0" applyFont="1" applyFill="1" applyBorder="1" applyAlignment="1"/>
    <xf numFmtId="0" fontId="28" fillId="17" borderId="14" xfId="0" applyFont="1" applyFill="1" applyBorder="1" applyAlignment="1"/>
    <xf numFmtId="0" fontId="29" fillId="17" borderId="13" xfId="0" applyFont="1" applyFill="1" applyBorder="1" applyAlignment="1"/>
    <xf numFmtId="188" fontId="29" fillId="16" borderId="15" xfId="0" applyNumberFormat="1" applyFont="1" applyFill="1" applyBorder="1" applyAlignment="1"/>
    <xf numFmtId="189" fontId="29" fillId="16" borderId="15" xfId="0" applyNumberFormat="1" applyFont="1" applyFill="1" applyBorder="1" applyAlignment="1"/>
    <xf numFmtId="0" fontId="29" fillId="16" borderId="15" xfId="0" applyFont="1" applyFill="1" applyBorder="1" applyAlignment="1"/>
    <xf numFmtId="0" fontId="28" fillId="16" borderId="14" xfId="0" applyFont="1" applyFill="1" applyBorder="1" applyAlignment="1"/>
    <xf numFmtId="0" fontId="29" fillId="16" borderId="13" xfId="0" applyFont="1" applyFill="1" applyBorder="1" applyAlignment="1"/>
    <xf numFmtId="188" fontId="29" fillId="15" borderId="10" xfId="0" applyNumberFormat="1" applyFont="1" applyFill="1" applyBorder="1" applyAlignment="1"/>
    <xf numFmtId="188" fontId="29" fillId="15" borderId="9" xfId="0" applyNumberFormat="1" applyFont="1" applyFill="1" applyBorder="1" applyAlignment="1"/>
    <xf numFmtId="189" fontId="29" fillId="15" borderId="9" xfId="0" applyNumberFormat="1" applyFont="1" applyFill="1" applyBorder="1" applyAlignment="1"/>
    <xf numFmtId="0" fontId="29" fillId="15" borderId="9" xfId="0" applyFont="1" applyFill="1" applyBorder="1" applyAlignment="1"/>
    <xf numFmtId="0" fontId="28" fillId="15" borderId="8" xfId="0" applyFont="1" applyFill="1" applyBorder="1" applyAlignment="1"/>
    <xf numFmtId="188" fontId="22" fillId="14" borderId="15" xfId="0" applyNumberFormat="1" applyFont="1" applyFill="1" applyBorder="1" applyAlignment="1">
      <alignment horizontal="right"/>
    </xf>
    <xf numFmtId="188" fontId="29" fillId="14" borderId="15" xfId="0" applyNumberFormat="1" applyFont="1" applyFill="1" applyBorder="1" applyAlignment="1"/>
    <xf numFmtId="189" fontId="29" fillId="14" borderId="15" xfId="0" applyNumberFormat="1" applyFont="1" applyFill="1" applyBorder="1" applyAlignment="1"/>
    <xf numFmtId="0" fontId="22" fillId="14" borderId="15" xfId="0" applyFont="1" applyFill="1" applyBorder="1" applyAlignment="1">
      <alignment horizontal="center"/>
    </xf>
    <xf numFmtId="0" fontId="29" fillId="14" borderId="15" xfId="0" applyFont="1" applyFill="1" applyBorder="1" applyAlignment="1"/>
    <xf numFmtId="0" fontId="29" fillId="14" borderId="14" xfId="0" applyFont="1" applyFill="1" applyBorder="1" applyAlignment="1"/>
    <xf numFmtId="0" fontId="22" fillId="14" borderId="14" xfId="0" applyFont="1" applyFill="1" applyBorder="1" applyAlignment="1"/>
    <xf numFmtId="0" fontId="29" fillId="14" borderId="13" xfId="0" applyFont="1" applyFill="1" applyBorder="1" applyAlignment="1"/>
    <xf numFmtId="188" fontId="16" fillId="14" borderId="15" xfId="0" applyNumberFormat="1" applyFont="1" applyFill="1" applyBorder="1" applyAlignment="1">
      <alignment horizontal="right"/>
    </xf>
    <xf numFmtId="0" fontId="16" fillId="14" borderId="15" xfId="0" applyFont="1" applyFill="1" applyBorder="1" applyAlignment="1">
      <alignment horizontal="center"/>
    </xf>
    <xf numFmtId="0" fontId="16" fillId="14" borderId="14" xfId="0" applyFont="1" applyFill="1" applyBorder="1" applyAlignment="1"/>
    <xf numFmtId="188" fontId="28" fillId="14" borderId="15" xfId="0" applyNumberFormat="1" applyFont="1" applyFill="1" applyBorder="1" applyAlignment="1">
      <alignment horizontal="right"/>
    </xf>
    <xf numFmtId="0" fontId="28" fillId="14" borderId="15" xfId="0" applyFont="1" applyFill="1" applyBorder="1" applyAlignment="1">
      <alignment horizontal="center"/>
    </xf>
    <xf numFmtId="0" fontId="30" fillId="14" borderId="14" xfId="0" applyFont="1" applyFill="1" applyBorder="1" applyAlignment="1"/>
    <xf numFmtId="0" fontId="28" fillId="14" borderId="14" xfId="0" applyFont="1" applyFill="1" applyBorder="1" applyAlignment="1"/>
    <xf numFmtId="0" fontId="29" fillId="8" borderId="13" xfId="0" applyFont="1" applyFill="1" applyBorder="1" applyAlignment="1"/>
    <xf numFmtId="188" fontId="29" fillId="13" borderId="15" xfId="0" applyNumberFormat="1" applyFont="1" applyFill="1" applyBorder="1" applyAlignment="1"/>
    <xf numFmtId="189" fontId="29" fillId="13" borderId="15" xfId="0" applyNumberFormat="1" applyFont="1" applyFill="1" applyBorder="1" applyAlignment="1"/>
    <xf numFmtId="0" fontId="29" fillId="13" borderId="15" xfId="0" applyFont="1" applyFill="1" applyBorder="1" applyAlignment="1"/>
    <xf numFmtId="0" fontId="29" fillId="13" borderId="14" xfId="0" applyFont="1" applyFill="1" applyBorder="1" applyAlignment="1"/>
    <xf numFmtId="0" fontId="28" fillId="13" borderId="14" xfId="0" applyFont="1" applyFill="1" applyBorder="1" applyAlignment="1"/>
    <xf numFmtId="188" fontId="29" fillId="12" borderId="10" xfId="0" applyNumberFormat="1" applyFont="1" applyFill="1" applyBorder="1" applyAlignment="1"/>
    <xf numFmtId="188" fontId="29" fillId="12" borderId="9" xfId="0" applyNumberFormat="1" applyFont="1" applyFill="1" applyBorder="1" applyAlignment="1"/>
    <xf numFmtId="189" fontId="29" fillId="12" borderId="9" xfId="0" applyNumberFormat="1" applyFont="1" applyFill="1" applyBorder="1" applyAlignment="1"/>
    <xf numFmtId="0" fontId="29" fillId="12" borderId="9" xfId="0" applyFont="1" applyFill="1" applyBorder="1" applyAlignment="1"/>
    <xf numFmtId="0" fontId="28" fillId="12" borderId="8" xfId="0" applyFont="1" applyFill="1" applyBorder="1" applyAlignment="1"/>
    <xf numFmtId="188" fontId="28" fillId="11" borderId="10" xfId="0" applyNumberFormat="1" applyFont="1" applyFill="1" applyBorder="1" applyAlignment="1">
      <alignment horizontal="right"/>
    </xf>
    <xf numFmtId="188" fontId="29" fillId="11" borderId="10" xfId="0" applyNumberFormat="1" applyFont="1" applyFill="1" applyBorder="1" applyAlignment="1"/>
    <xf numFmtId="189" fontId="29" fillId="11" borderId="10" xfId="0" applyNumberFormat="1" applyFont="1" applyFill="1" applyBorder="1" applyAlignment="1"/>
    <xf numFmtId="0" fontId="29" fillId="11" borderId="10" xfId="0" applyFont="1" applyFill="1" applyBorder="1" applyAlignment="1"/>
    <xf numFmtId="0" fontId="29" fillId="11" borderId="9" xfId="0" applyFont="1" applyFill="1" applyBorder="1" applyAlignment="1"/>
    <xf numFmtId="0" fontId="28" fillId="11" borderId="8" xfId="0" applyFont="1" applyFill="1" applyBorder="1" applyAlignment="1"/>
    <xf numFmtId="0" fontId="29" fillId="8" borderId="8" xfId="0" applyFont="1" applyFill="1" applyBorder="1" applyAlignment="1"/>
    <xf numFmtId="0" fontId="41" fillId="0" borderId="9" xfId="0" applyFont="1" applyBorder="1"/>
    <xf numFmtId="188" fontId="22" fillId="10" borderId="15" xfId="0" applyNumberFormat="1" applyFont="1" applyFill="1" applyBorder="1" applyAlignment="1">
      <alignment horizontal="right"/>
    </xf>
    <xf numFmtId="0" fontId="22" fillId="10" borderId="15" xfId="0" applyFont="1" applyFill="1" applyBorder="1" applyAlignment="1">
      <alignment horizontal="center"/>
    </xf>
    <xf numFmtId="0" fontId="22" fillId="10" borderId="14" xfId="0" applyFont="1" applyFill="1" applyBorder="1" applyAlignment="1"/>
    <xf numFmtId="0" fontId="29" fillId="10" borderId="13" xfId="0" applyFont="1" applyFill="1" applyBorder="1" applyAlignment="1"/>
    <xf numFmtId="188" fontId="16" fillId="10" borderId="15" xfId="0" applyNumberFormat="1" applyFont="1" applyFill="1" applyBorder="1" applyAlignment="1">
      <alignment horizontal="right"/>
    </xf>
    <xf numFmtId="0" fontId="16" fillId="10" borderId="15" xfId="0" applyFont="1" applyFill="1" applyBorder="1" applyAlignment="1">
      <alignment horizontal="center"/>
    </xf>
    <xf numFmtId="0" fontId="16" fillId="10" borderId="14" xfId="0" applyFont="1" applyFill="1" applyBorder="1" applyAlignment="1"/>
    <xf numFmtId="0" fontId="28" fillId="10" borderId="15" xfId="0" applyFont="1" applyFill="1" applyBorder="1" applyAlignment="1">
      <alignment horizontal="center"/>
    </xf>
    <xf numFmtId="0" fontId="30" fillId="10" borderId="14" xfId="0" applyFont="1" applyFill="1" applyBorder="1" applyAlignment="1"/>
    <xf numFmtId="188" fontId="29" fillId="9" borderId="10" xfId="0" applyNumberFormat="1" applyFont="1" applyFill="1" applyBorder="1" applyAlignment="1"/>
    <xf numFmtId="189" fontId="29" fillId="9" borderId="10" xfId="0" applyNumberFormat="1" applyFont="1" applyFill="1" applyBorder="1" applyAlignment="1"/>
    <xf numFmtId="0" fontId="29" fillId="9" borderId="10" xfId="0" applyFont="1" applyFill="1" applyBorder="1" applyAlignment="1"/>
    <xf numFmtId="0" fontId="28" fillId="9" borderId="8" xfId="0" applyFont="1" applyFill="1" applyBorder="1" applyAlignment="1"/>
    <xf numFmtId="188" fontId="28" fillId="7" borderId="10" xfId="0" applyNumberFormat="1" applyFont="1" applyFill="1" applyBorder="1" applyAlignment="1">
      <alignment horizontal="center"/>
    </xf>
    <xf numFmtId="188" fontId="28" fillId="5" borderId="10" xfId="0" applyNumberFormat="1" applyFont="1" applyFill="1" applyBorder="1" applyAlignment="1">
      <alignment horizontal="center"/>
    </xf>
    <xf numFmtId="188" fontId="28" fillId="6" borderId="10" xfId="0" applyNumberFormat="1" applyFont="1" applyFill="1" applyBorder="1" applyAlignment="1">
      <alignment horizontal="center"/>
    </xf>
    <xf numFmtId="188" fontId="28" fillId="7" borderId="10" xfId="0" applyNumberFormat="1" applyFont="1" applyFill="1" applyBorder="1" applyAlignment="1">
      <alignment horizontal="center" wrapText="1"/>
    </xf>
    <xf numFmtId="188" fontId="28" fillId="5" borderId="10" xfId="0" applyNumberFormat="1" applyFont="1" applyFill="1" applyBorder="1" applyAlignment="1">
      <alignment horizontal="center" wrapText="1"/>
    </xf>
    <xf numFmtId="188" fontId="28" fillId="4" borderId="10" xfId="0" applyNumberFormat="1" applyFont="1" applyFill="1" applyBorder="1" applyAlignment="1">
      <alignment horizontal="center"/>
    </xf>
    <xf numFmtId="187" fontId="28" fillId="4" borderId="10" xfId="0" applyNumberFormat="1" applyFont="1" applyFill="1" applyBorder="1" applyAlignment="1">
      <alignment horizontal="center" wrapText="1"/>
    </xf>
    <xf numFmtId="0" fontId="28" fillId="3" borderId="10" xfId="0" applyFont="1" applyFill="1" applyBorder="1" applyAlignment="1">
      <alignment horizontal="center"/>
    </xf>
    <xf numFmtId="188" fontId="28" fillId="6" borderId="9" xfId="0" applyNumberFormat="1" applyFont="1" applyFill="1" applyBorder="1" applyAlignment="1">
      <alignment horizontal="center"/>
    </xf>
    <xf numFmtId="188" fontId="28" fillId="5" borderId="9" xfId="0" applyNumberFormat="1" applyFont="1" applyFill="1" applyBorder="1" applyAlignment="1">
      <alignment horizontal="center" wrapText="1"/>
    </xf>
    <xf numFmtId="0" fontId="28" fillId="4" borderId="9" xfId="0" applyFont="1" applyFill="1" applyBorder="1" applyAlignment="1">
      <alignment horizontal="center"/>
    </xf>
    <xf numFmtId="0" fontId="28" fillId="3" borderId="20" xfId="0" applyFont="1" applyFill="1" applyBorder="1" applyAlignment="1">
      <alignment horizontal="center"/>
    </xf>
    <xf numFmtId="0" fontId="3" fillId="0" borderId="20" xfId="0" applyFont="1" applyBorder="1"/>
    <xf numFmtId="0" fontId="28" fillId="3" borderId="19" xfId="0" applyFont="1" applyFill="1" applyBorder="1" applyAlignment="1">
      <alignment horizontal="center"/>
    </xf>
    <xf numFmtId="188" fontId="29" fillId="2" borderId="9" xfId="0" applyNumberFormat="1" applyFont="1" applyFill="1" applyBorder="1" applyAlignment="1"/>
    <xf numFmtId="0" fontId="28" fillId="0" borderId="0" xfId="0" applyFont="1" applyAlignment="1">
      <alignment horizontal="center"/>
    </xf>
    <xf numFmtId="0" fontId="16" fillId="2" borderId="10" xfId="0" applyFont="1" applyFill="1" applyBorder="1" applyAlignment="1">
      <alignment horizontal="center" wrapText="1"/>
    </xf>
    <xf numFmtId="0" fontId="16" fillId="0" borderId="9" xfId="0" applyFont="1" applyBorder="1" applyAlignment="1"/>
    <xf numFmtId="187" fontId="29" fillId="2" borderId="8" xfId="0" applyNumberFormat="1" applyFont="1" applyFill="1" applyBorder="1" applyAlignment="1"/>
    <xf numFmtId="188" fontId="29" fillId="33" borderId="15" xfId="0" applyNumberFormat="1" applyFont="1" applyFill="1" applyBorder="1" applyAlignment="1"/>
    <xf numFmtId="188" fontId="17" fillId="33" borderId="15" xfId="0" applyNumberFormat="1" applyFont="1" applyFill="1" applyBorder="1" applyAlignment="1">
      <alignment horizontal="right"/>
    </xf>
    <xf numFmtId="189" fontId="17" fillId="33" borderId="15" xfId="0" applyNumberFormat="1" applyFont="1" applyFill="1" applyBorder="1" applyAlignment="1">
      <alignment horizontal="right"/>
    </xf>
    <xf numFmtId="0" fontId="17" fillId="33" borderId="15" xfId="0" applyFont="1" applyFill="1" applyBorder="1" applyAlignment="1">
      <alignment horizontal="center" wrapText="1"/>
    </xf>
    <xf numFmtId="0" fontId="29" fillId="33" borderId="15" xfId="0" applyFont="1" applyFill="1" applyBorder="1" applyAlignment="1"/>
    <xf numFmtId="0" fontId="29" fillId="33" borderId="14" xfId="0" applyFont="1" applyFill="1" applyBorder="1" applyAlignment="1"/>
    <xf numFmtId="187" fontId="29" fillId="33" borderId="14" xfId="0" applyNumberFormat="1" applyFont="1" applyFill="1" applyBorder="1" applyAlignment="1"/>
    <xf numFmtId="0" fontId="17" fillId="33" borderId="14" xfId="0" applyFont="1" applyFill="1" applyBorder="1" applyAlignment="1"/>
    <xf numFmtId="187" fontId="29" fillId="33" borderId="13" xfId="0" applyNumberFormat="1" applyFont="1" applyFill="1" applyBorder="1" applyAlignment="1"/>
    <xf numFmtId="188" fontId="29" fillId="32" borderId="15" xfId="0" applyNumberFormat="1" applyFont="1" applyFill="1" applyBorder="1" applyAlignment="1"/>
    <xf numFmtId="189" fontId="29" fillId="32" borderId="15" xfId="0" applyNumberFormat="1" applyFont="1" applyFill="1" applyBorder="1" applyAlignment="1"/>
    <xf numFmtId="0" fontId="29" fillId="32" borderId="15" xfId="0" applyFont="1" applyFill="1" applyBorder="1" applyAlignment="1"/>
    <xf numFmtId="187" fontId="29" fillId="32" borderId="14" xfId="0" applyNumberFormat="1" applyFont="1" applyFill="1" applyBorder="1" applyAlignment="1"/>
    <xf numFmtId="0" fontId="29" fillId="32" borderId="14" xfId="0" applyFont="1" applyFill="1" applyBorder="1" applyAlignment="1"/>
    <xf numFmtId="187" fontId="17" fillId="32" borderId="13" xfId="0" applyNumberFormat="1" applyFont="1" applyFill="1" applyBorder="1" applyAlignment="1"/>
    <xf numFmtId="188" fontId="29" fillId="31" borderId="10" xfId="0" applyNumberFormat="1" applyFont="1" applyFill="1" applyBorder="1" applyAlignment="1"/>
    <xf numFmtId="188" fontId="29" fillId="31" borderId="9" xfId="0" applyNumberFormat="1" applyFont="1" applyFill="1" applyBorder="1" applyAlignment="1"/>
    <xf numFmtId="189" fontId="29" fillId="31" borderId="9" xfId="0" applyNumberFormat="1" applyFont="1" applyFill="1" applyBorder="1" applyAlignment="1"/>
    <xf numFmtId="0" fontId="29" fillId="31" borderId="9" xfId="0" applyFont="1" applyFill="1" applyBorder="1" applyAlignment="1"/>
    <xf numFmtId="187" fontId="29" fillId="31" borderId="9" xfId="0" applyNumberFormat="1" applyFont="1" applyFill="1" applyBorder="1" applyAlignment="1"/>
    <xf numFmtId="187" fontId="17" fillId="31" borderId="8" xfId="0" applyNumberFormat="1" applyFont="1" applyFill="1" applyBorder="1" applyAlignment="1"/>
    <xf numFmtId="188" fontId="15" fillId="0" borderId="10" xfId="0" applyNumberFormat="1" applyFont="1" applyBorder="1" applyAlignment="1"/>
    <xf numFmtId="0" fontId="15" fillId="0" borderId="10" xfId="0" applyFont="1" applyBorder="1" applyAlignment="1"/>
    <xf numFmtId="0" fontId="15" fillId="0" borderId="9" xfId="0" applyFont="1" applyBorder="1" applyAlignment="1"/>
    <xf numFmtId="187" fontId="15" fillId="0" borderId="9" xfId="0" applyNumberFormat="1" applyFont="1" applyBorder="1" applyAlignment="1"/>
    <xf numFmtId="187" fontId="15" fillId="0" borderId="8" xfId="0" applyNumberFormat="1" applyFont="1" applyBorder="1" applyAlignment="1"/>
    <xf numFmtId="188" fontId="15" fillId="21" borderId="15" xfId="0" applyNumberFormat="1" applyFont="1" applyFill="1" applyBorder="1" applyAlignment="1"/>
    <xf numFmtId="189" fontId="15" fillId="21" borderId="15" xfId="0" applyNumberFormat="1" applyFont="1" applyFill="1" applyBorder="1" applyAlignment="1"/>
    <xf numFmtId="187" fontId="15" fillId="21" borderId="14" xfId="0" applyNumberFormat="1" applyFont="1" applyFill="1" applyBorder="1" applyAlignment="1"/>
    <xf numFmtId="187" fontId="15" fillId="21" borderId="13" xfId="0" applyNumberFormat="1" applyFont="1" applyFill="1" applyBorder="1" applyAlignment="1"/>
    <xf numFmtId="188" fontId="15" fillId="22" borderId="15" xfId="0" applyNumberFormat="1" applyFont="1" applyFill="1" applyBorder="1" applyAlignment="1"/>
    <xf numFmtId="189" fontId="15" fillId="22" borderId="15" xfId="0" applyNumberFormat="1" applyFont="1" applyFill="1" applyBorder="1" applyAlignment="1"/>
    <xf numFmtId="0" fontId="15" fillId="22" borderId="15" xfId="0" applyFont="1" applyFill="1" applyBorder="1" applyAlignment="1"/>
    <xf numFmtId="0" fontId="15" fillId="22" borderId="14" xfId="0" applyFont="1" applyFill="1" applyBorder="1" applyAlignment="1"/>
    <xf numFmtId="187" fontId="15" fillId="22" borderId="14" xfId="0" applyNumberFormat="1" applyFont="1" applyFill="1" applyBorder="1" applyAlignment="1"/>
    <xf numFmtId="187" fontId="22" fillId="2" borderId="17" xfId="0" applyNumberFormat="1" applyFont="1" applyFill="1" applyBorder="1" applyAlignment="1"/>
    <xf numFmtId="188" fontId="5" fillId="34" borderId="15" xfId="0" applyNumberFormat="1" applyFont="1" applyFill="1" applyBorder="1" applyAlignment="1">
      <alignment horizontal="right"/>
    </xf>
    <xf numFmtId="187" fontId="16" fillId="2" borderId="17" xfId="0" applyNumberFormat="1" applyFont="1" applyFill="1" applyBorder="1" applyAlignment="1"/>
    <xf numFmtId="187" fontId="22" fillId="0" borderId="14" xfId="0" quotePrefix="1" applyNumberFormat="1" applyFont="1" applyBorder="1" applyAlignment="1"/>
    <xf numFmtId="188" fontId="29" fillId="2" borderId="18" xfId="0" applyNumberFormat="1" applyFont="1" applyFill="1" applyBorder="1" applyAlignment="1"/>
    <xf numFmtId="188" fontId="29" fillId="0" borderId="18" xfId="0" applyNumberFormat="1" applyFont="1" applyBorder="1" applyAlignment="1"/>
    <xf numFmtId="188" fontId="22" fillId="34" borderId="18" xfId="0" applyNumberFormat="1" applyFont="1" applyFill="1" applyBorder="1" applyAlignment="1">
      <alignment horizontal="right"/>
    </xf>
    <xf numFmtId="188" fontId="22" fillId="2" borderId="18" xfId="0" applyNumberFormat="1" applyFont="1" applyFill="1" applyBorder="1" applyAlignment="1">
      <alignment horizontal="right"/>
    </xf>
    <xf numFmtId="189" fontId="29" fillId="2" borderId="18" xfId="0" applyNumberFormat="1" applyFont="1" applyFill="1" applyBorder="1" applyAlignment="1"/>
    <xf numFmtId="0" fontId="22" fillId="2" borderId="18" xfId="0" applyFont="1" applyFill="1" applyBorder="1" applyAlignment="1">
      <alignment horizontal="center"/>
    </xf>
    <xf numFmtId="0" fontId="29" fillId="2" borderId="18" xfId="0" applyFont="1" applyFill="1" applyBorder="1" applyAlignment="1"/>
    <xf numFmtId="0" fontId="29" fillId="2" borderId="17" xfId="0" applyFont="1" applyFill="1" applyBorder="1" applyAlignment="1"/>
    <xf numFmtId="187" fontId="29" fillId="2" borderId="17" xfId="0" applyNumberFormat="1" applyFont="1" applyFill="1" applyBorder="1" applyAlignment="1"/>
    <xf numFmtId="187" fontId="29" fillId="2" borderId="1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545"/>
  <sheetViews>
    <sheetView view="pageBreakPreview" zoomScale="60" zoomScaleNormal="10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2.5703125" bestFit="1" customWidth="1"/>
    <col min="12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99" t="s">
        <v>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</row>
    <row r="2" spans="1:16" ht="19.5" x14ac:dyDescent="0.3">
      <c r="A2" s="499" t="s">
        <v>1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</row>
    <row r="3" spans="1:16" ht="19.5" x14ac:dyDescent="0.3">
      <c r="A3" s="499" t="s">
        <v>175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501" t="s">
        <v>2</v>
      </c>
      <c r="B5" s="502"/>
      <c r="C5" s="502"/>
      <c r="D5" s="502"/>
      <c r="E5" s="502"/>
      <c r="F5" s="502"/>
      <c r="G5" s="503"/>
      <c r="H5" s="4" t="s">
        <v>3</v>
      </c>
      <c r="I5" s="505" t="s">
        <v>4</v>
      </c>
      <c r="J5" s="489"/>
      <c r="K5" s="490"/>
      <c r="L5" s="506" t="s">
        <v>5</v>
      </c>
      <c r="M5" s="490"/>
      <c r="N5" s="507" t="s">
        <v>6</v>
      </c>
      <c r="O5" s="489"/>
      <c r="P5" s="490"/>
    </row>
    <row r="6" spans="1:16" ht="19.5" x14ac:dyDescent="0.3">
      <c r="A6" s="504"/>
      <c r="B6" s="492"/>
      <c r="C6" s="492"/>
      <c r="D6" s="492"/>
      <c r="E6" s="492"/>
      <c r="F6" s="492"/>
      <c r="G6" s="493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9.5" hidden="1" x14ac:dyDescent="0.3">
      <c r="A7" s="488"/>
      <c r="B7" s="489"/>
      <c r="C7" s="489"/>
      <c r="D7" s="489"/>
      <c r="E7" s="489"/>
      <c r="F7" s="489"/>
      <c r="G7" s="490"/>
      <c r="H7" s="13"/>
      <c r="I7" s="14"/>
      <c r="J7" s="14"/>
      <c r="K7" s="15"/>
      <c r="L7" s="15"/>
      <c r="M7" s="15"/>
      <c r="N7" s="15"/>
      <c r="O7" s="15"/>
      <c r="P7" s="15"/>
    </row>
    <row r="8" spans="1:16" ht="19.5" hidden="1" x14ac:dyDescent="0.3">
      <c r="A8" s="16"/>
      <c r="B8" s="17"/>
      <c r="C8" s="18"/>
      <c r="D8" s="19"/>
      <c r="E8" s="17"/>
      <c r="F8" s="17"/>
      <c r="G8" s="20"/>
      <c r="H8" s="21"/>
      <c r="I8" s="22"/>
      <c r="J8" s="22"/>
      <c r="K8" s="23"/>
      <c r="L8" s="24"/>
      <c r="M8" s="24"/>
      <c r="N8" s="24"/>
      <c r="O8" s="24"/>
      <c r="P8" s="24"/>
    </row>
    <row r="9" spans="1:16" ht="18.75" hidden="1" x14ac:dyDescent="0.25">
      <c r="A9" s="16"/>
      <c r="B9" s="17"/>
      <c r="C9" s="17"/>
      <c r="D9" s="17"/>
      <c r="E9" s="25"/>
      <c r="F9" s="17"/>
      <c r="G9" s="20"/>
      <c r="H9" s="26"/>
      <c r="I9" s="22"/>
      <c r="J9" s="22"/>
      <c r="K9" s="23"/>
      <c r="L9" s="27"/>
      <c r="M9" s="27"/>
      <c r="N9" s="27"/>
      <c r="O9" s="27"/>
      <c r="P9" s="27"/>
    </row>
    <row r="10" spans="1:16" ht="18.75" hidden="1" x14ac:dyDescent="0.25">
      <c r="A10" s="16"/>
      <c r="B10" s="17"/>
      <c r="C10" s="17"/>
      <c r="D10" s="17"/>
      <c r="E10" s="25"/>
      <c r="F10" s="17"/>
      <c r="G10" s="20"/>
      <c r="H10" s="26"/>
      <c r="I10" s="22"/>
      <c r="J10" s="22"/>
      <c r="K10" s="23"/>
      <c r="L10" s="27"/>
      <c r="M10" s="27"/>
      <c r="N10" s="27"/>
      <c r="O10" s="27"/>
      <c r="P10" s="27"/>
    </row>
    <row r="11" spans="1:16" ht="18.75" hidden="1" x14ac:dyDescent="0.25">
      <c r="A11" s="16"/>
      <c r="B11" s="17"/>
      <c r="C11" s="17"/>
      <c r="D11" s="28"/>
      <c r="E11" s="17"/>
      <c r="F11" s="17"/>
      <c r="G11" s="20"/>
      <c r="H11" s="26"/>
      <c r="I11" s="22"/>
      <c r="J11" s="22"/>
      <c r="K11" s="23"/>
      <c r="L11" s="27"/>
      <c r="M11" s="27"/>
      <c r="N11" s="27"/>
      <c r="O11" s="27"/>
      <c r="P11" s="27"/>
    </row>
    <row r="12" spans="1:16" ht="18.75" hidden="1" x14ac:dyDescent="0.25">
      <c r="A12" s="16"/>
      <c r="B12" s="17"/>
      <c r="C12" s="17"/>
      <c r="D12" s="17"/>
      <c r="E12" s="25"/>
      <c r="F12" s="17"/>
      <c r="G12" s="20"/>
      <c r="H12" s="26"/>
      <c r="I12" s="22"/>
      <c r="J12" s="22"/>
      <c r="K12" s="23"/>
      <c r="L12" s="27"/>
      <c r="M12" s="27"/>
      <c r="N12" s="27"/>
      <c r="O12" s="27"/>
      <c r="P12" s="27"/>
    </row>
    <row r="13" spans="1:16" ht="18.75" hidden="1" x14ac:dyDescent="0.25">
      <c r="A13" s="16"/>
      <c r="B13" s="17"/>
      <c r="C13" s="17"/>
      <c r="D13" s="17"/>
      <c r="E13" s="25"/>
      <c r="F13" s="17"/>
      <c r="G13" s="20"/>
      <c r="H13" s="26"/>
      <c r="I13" s="22"/>
      <c r="J13" s="22"/>
      <c r="K13" s="23"/>
      <c r="L13" s="27"/>
      <c r="M13" s="27"/>
      <c r="N13" s="27"/>
      <c r="O13" s="27"/>
      <c r="P13" s="27"/>
    </row>
    <row r="14" spans="1:16" ht="18.75" hidden="1" x14ac:dyDescent="0.25">
      <c r="A14" s="16"/>
      <c r="B14" s="17"/>
      <c r="C14" s="17"/>
      <c r="D14" s="28"/>
      <c r="E14" s="17"/>
      <c r="F14" s="17"/>
      <c r="G14" s="20"/>
      <c r="H14" s="26"/>
      <c r="I14" s="22"/>
      <c r="J14" s="22"/>
      <c r="K14" s="23"/>
      <c r="L14" s="27"/>
      <c r="M14" s="27"/>
      <c r="N14" s="27"/>
      <c r="O14" s="27"/>
      <c r="P14" s="27"/>
    </row>
    <row r="15" spans="1:16" ht="18.75" hidden="1" x14ac:dyDescent="0.25">
      <c r="A15" s="16"/>
      <c r="B15" s="17"/>
      <c r="C15" s="17"/>
      <c r="D15" s="17"/>
      <c r="E15" s="25"/>
      <c r="F15" s="17"/>
      <c r="G15" s="20"/>
      <c r="H15" s="26"/>
      <c r="I15" s="22"/>
      <c r="J15" s="22"/>
      <c r="K15" s="23"/>
      <c r="L15" s="27"/>
      <c r="M15" s="27"/>
      <c r="N15" s="27"/>
      <c r="O15" s="27"/>
      <c r="P15" s="27"/>
    </row>
    <row r="16" spans="1:16" ht="18.75" hidden="1" x14ac:dyDescent="0.25">
      <c r="A16" s="29"/>
      <c r="B16" s="30"/>
      <c r="C16" s="30"/>
      <c r="D16" s="30"/>
      <c r="E16" s="31"/>
      <c r="F16" s="30"/>
      <c r="G16" s="32"/>
      <c r="H16" s="33"/>
      <c r="I16" s="34"/>
      <c r="J16" s="34"/>
      <c r="K16" s="35"/>
      <c r="L16" s="36"/>
      <c r="M16" s="36"/>
      <c r="N16" s="36"/>
      <c r="O16" s="36"/>
      <c r="P16" s="36"/>
    </row>
    <row r="17" spans="1:16" ht="19.5" x14ac:dyDescent="0.3">
      <c r="A17" s="491" t="s">
        <v>15</v>
      </c>
      <c r="B17" s="492"/>
      <c r="C17" s="492"/>
      <c r="D17" s="492"/>
      <c r="E17" s="492"/>
      <c r="F17" s="492"/>
      <c r="G17" s="493"/>
      <c r="H17" s="37"/>
      <c r="I17" s="38"/>
      <c r="J17" s="38"/>
      <c r="K17" s="39"/>
      <c r="L17" s="39"/>
      <c r="M17" s="39"/>
      <c r="N17" s="39"/>
      <c r="O17" s="39"/>
      <c r="P17" s="39"/>
    </row>
    <row r="18" spans="1:16" ht="19.5" x14ac:dyDescent="0.3">
      <c r="A18" s="40"/>
      <c r="B18" s="41"/>
      <c r="C18" s="42" t="s">
        <v>16</v>
      </c>
      <c r="D18" s="43" t="s">
        <v>17</v>
      </c>
      <c r="E18" s="41"/>
      <c r="F18" s="41"/>
      <c r="G18" s="44"/>
      <c r="H18" s="45" t="s">
        <v>12</v>
      </c>
      <c r="I18" s="46"/>
      <c r="J18" s="46"/>
      <c r="K18" s="47"/>
      <c r="L18" s="48">
        <f t="shared" ref="L18:N18" ca="1" si="0">L19+L20</f>
        <v>34466256</v>
      </c>
      <c r="M18" s="48">
        <f t="shared" ca="1" si="0"/>
        <v>18364239</v>
      </c>
      <c r="N18" s="48">
        <f t="shared" ca="1" si="0"/>
        <v>6973727.6699999897</v>
      </c>
      <c r="O18" s="48">
        <f t="shared" ref="O18:O29" ca="1" si="1">IF(L18&gt;0,N18*100/L18,0)</f>
        <v>20.233493507388761</v>
      </c>
      <c r="P18" s="48">
        <f t="shared" ref="P18:P29" ca="1" si="2">IF(M18&gt;0,N18*100/M18,0)</f>
        <v>37.97449853489703</v>
      </c>
    </row>
    <row r="19" spans="1:16" ht="18.75" x14ac:dyDescent="0.25">
      <c r="A19" s="40"/>
      <c r="B19" s="41"/>
      <c r="C19" s="41"/>
      <c r="D19" s="41"/>
      <c r="E19" s="49" t="s">
        <v>18</v>
      </c>
      <c r="F19" s="41"/>
      <c r="G19" s="44"/>
      <c r="H19" s="50" t="s">
        <v>12</v>
      </c>
      <c r="I19" s="46"/>
      <c r="J19" s="46"/>
      <c r="K19" s="47"/>
      <c r="L19" s="51">
        <f t="shared" ref="L19:N19" ca="1" si="3">L22+L25+L28</f>
        <v>0</v>
      </c>
      <c r="M19" s="51">
        <f t="shared" ca="1" si="3"/>
        <v>0</v>
      </c>
      <c r="N19" s="51">
        <f t="shared" ca="1" si="3"/>
        <v>0</v>
      </c>
      <c r="O19" s="51">
        <f t="shared" ca="1" si="1"/>
        <v>0</v>
      </c>
      <c r="P19" s="51">
        <f t="shared" ca="1" si="2"/>
        <v>0</v>
      </c>
    </row>
    <row r="20" spans="1:16" ht="18.75" x14ac:dyDescent="0.25">
      <c r="A20" s="40"/>
      <c r="B20" s="41"/>
      <c r="C20" s="41"/>
      <c r="D20" s="41"/>
      <c r="E20" s="49" t="s">
        <v>19</v>
      </c>
      <c r="F20" s="41"/>
      <c r="G20" s="44"/>
      <c r="H20" s="50" t="s">
        <v>12</v>
      </c>
      <c r="I20" s="46"/>
      <c r="J20" s="46"/>
      <c r="K20" s="47"/>
      <c r="L20" s="51">
        <f t="shared" ref="L20:N20" ca="1" si="4">L23+L26+L29</f>
        <v>34466256</v>
      </c>
      <c r="M20" s="51">
        <f t="shared" ca="1" si="4"/>
        <v>18364239</v>
      </c>
      <c r="N20" s="51">
        <f t="shared" ca="1" si="4"/>
        <v>6973727.6699999897</v>
      </c>
      <c r="O20" s="51">
        <f t="shared" ca="1" si="1"/>
        <v>20.233493507388761</v>
      </c>
      <c r="P20" s="51">
        <f t="shared" ca="1" si="2"/>
        <v>37.97449853489703</v>
      </c>
    </row>
    <row r="21" spans="1:16" ht="18.75" x14ac:dyDescent="0.25">
      <c r="A21" s="52"/>
      <c r="B21" s="53"/>
      <c r="C21" s="53"/>
      <c r="D21" s="54" t="s">
        <v>20</v>
      </c>
      <c r="E21" s="53"/>
      <c r="F21" s="53"/>
      <c r="G21" s="55"/>
      <c r="H21" s="56" t="s">
        <v>12</v>
      </c>
      <c r="I21" s="57"/>
      <c r="J21" s="57"/>
      <c r="K21" s="58"/>
      <c r="L21" s="59">
        <f t="shared" ref="L21:N21" ca="1" si="5">L22+L23</f>
        <v>22020856</v>
      </c>
      <c r="M21" s="59">
        <f t="shared" ca="1" si="5"/>
        <v>18364239</v>
      </c>
      <c r="N21" s="59">
        <f t="shared" ca="1" si="5"/>
        <v>6973727.6699999897</v>
      </c>
      <c r="O21" s="59">
        <f t="shared" ca="1" si="1"/>
        <v>31.668740170681783</v>
      </c>
      <c r="P21" s="59">
        <f t="shared" ca="1" si="2"/>
        <v>37.97449853489703</v>
      </c>
    </row>
    <row r="22" spans="1:16" ht="18.75" x14ac:dyDescent="0.25">
      <c r="A22" s="52"/>
      <c r="B22" s="53"/>
      <c r="C22" s="53"/>
      <c r="D22" s="53"/>
      <c r="E22" s="60" t="s">
        <v>18</v>
      </c>
      <c r="F22" s="53"/>
      <c r="G22" s="55"/>
      <c r="H22" s="56" t="s">
        <v>12</v>
      </c>
      <c r="I22" s="57"/>
      <c r="J22" s="57"/>
      <c r="K22" s="58"/>
      <c r="L22" s="59">
        <f t="shared" ref="L22:N22" ca="1" si="6">L48+L63+L76+L98+L129+L143+L161+L190+L177+L270+L286+L307+L324+L337+L360+L381</f>
        <v>0</v>
      </c>
      <c r="M22" s="59">
        <f t="shared" ca="1" si="6"/>
        <v>0</v>
      </c>
      <c r="N22" s="59">
        <f t="shared" ca="1" si="6"/>
        <v>0</v>
      </c>
      <c r="O22" s="59">
        <f t="shared" ca="1" si="1"/>
        <v>0</v>
      </c>
      <c r="P22" s="59">
        <f t="shared" ca="1" si="2"/>
        <v>0</v>
      </c>
    </row>
    <row r="23" spans="1:16" ht="18.75" x14ac:dyDescent="0.25">
      <c r="A23" s="52"/>
      <c r="B23" s="53"/>
      <c r="C23" s="53"/>
      <c r="D23" s="53"/>
      <c r="E23" s="60" t="s">
        <v>19</v>
      </c>
      <c r="F23" s="53"/>
      <c r="G23" s="55"/>
      <c r="H23" s="56" t="s">
        <v>12</v>
      </c>
      <c r="I23" s="57"/>
      <c r="J23" s="57"/>
      <c r="K23" s="58"/>
      <c r="L23" s="59">
        <f t="shared" ref="L23:N23" ca="1" si="7">L49+L64+L77+L99+L130+L144+L162+L191+L178+L271+L287+L308+L325+L338+L361+L382</f>
        <v>22020856</v>
      </c>
      <c r="M23" s="59">
        <f t="shared" ca="1" si="7"/>
        <v>18364239</v>
      </c>
      <c r="N23" s="59">
        <f t="shared" ca="1" si="7"/>
        <v>6973727.6699999897</v>
      </c>
      <c r="O23" s="59">
        <f t="shared" ca="1" si="1"/>
        <v>31.668740170681783</v>
      </c>
      <c r="P23" s="59">
        <f t="shared" ca="1" si="2"/>
        <v>37.97449853489703</v>
      </c>
    </row>
    <row r="24" spans="1:16" ht="18.75" x14ac:dyDescent="0.25">
      <c r="A24" s="52"/>
      <c r="B24" s="53"/>
      <c r="C24" s="53"/>
      <c r="D24" s="54" t="s">
        <v>21</v>
      </c>
      <c r="E24" s="53"/>
      <c r="F24" s="53"/>
      <c r="G24" s="55"/>
      <c r="H24" s="56" t="s">
        <v>12</v>
      </c>
      <c r="I24" s="57"/>
      <c r="J24" s="57"/>
      <c r="K24" s="58"/>
      <c r="L24" s="61">
        <f t="shared" ref="L24:N24" ca="1" si="8">L25+L26</f>
        <v>12445400</v>
      </c>
      <c r="M24" s="59">
        <f t="shared" ca="1" si="8"/>
        <v>0</v>
      </c>
      <c r="N24" s="59">
        <f t="shared" ca="1" si="8"/>
        <v>0</v>
      </c>
      <c r="O24" s="59">
        <f t="shared" ca="1" si="1"/>
        <v>0</v>
      </c>
      <c r="P24" s="59">
        <f t="shared" ca="1" si="2"/>
        <v>0</v>
      </c>
    </row>
    <row r="25" spans="1:16" ht="18.75" x14ac:dyDescent="0.25">
      <c r="A25" s="52"/>
      <c r="B25" s="53"/>
      <c r="C25" s="53"/>
      <c r="D25" s="53"/>
      <c r="E25" s="60" t="s">
        <v>18</v>
      </c>
      <c r="F25" s="53"/>
      <c r="G25" s="55"/>
      <c r="H25" s="56" t="s">
        <v>12</v>
      </c>
      <c r="I25" s="57"/>
      <c r="J25" s="57"/>
      <c r="K25" s="58"/>
      <c r="L25" s="59">
        <f t="shared" ref="L25:N25" ca="1" si="9">L51+L66+L79+L101+L132+L146+L164+L193+L180+L273+L289+L310+L327+L340+L363+L384</f>
        <v>0</v>
      </c>
      <c r="M25" s="59">
        <f t="shared" ca="1" si="9"/>
        <v>0</v>
      </c>
      <c r="N25" s="59">
        <f t="shared" ca="1" si="9"/>
        <v>0</v>
      </c>
      <c r="O25" s="59">
        <f t="shared" ca="1" si="1"/>
        <v>0</v>
      </c>
      <c r="P25" s="59">
        <f t="shared" ca="1" si="2"/>
        <v>0</v>
      </c>
    </row>
    <row r="26" spans="1:16" ht="18.75" x14ac:dyDescent="0.25">
      <c r="A26" s="52"/>
      <c r="B26" s="53"/>
      <c r="C26" s="53"/>
      <c r="D26" s="53"/>
      <c r="E26" s="60" t="s">
        <v>19</v>
      </c>
      <c r="F26" s="53"/>
      <c r="G26" s="55"/>
      <c r="H26" s="56" t="s">
        <v>12</v>
      </c>
      <c r="I26" s="57"/>
      <c r="J26" s="57"/>
      <c r="K26" s="58"/>
      <c r="L26" s="59">
        <f t="shared" ref="L26:N26" ca="1" si="10">L52+L67+L80+L102+L133+L147+L165+L194+L181+L274+L290+L311+L328+L341+L364+L385</f>
        <v>12445400</v>
      </c>
      <c r="M26" s="59">
        <f t="shared" ca="1" si="10"/>
        <v>0</v>
      </c>
      <c r="N26" s="59">
        <f t="shared" ca="1" si="10"/>
        <v>0</v>
      </c>
      <c r="O26" s="59">
        <f t="shared" ca="1" si="1"/>
        <v>0</v>
      </c>
      <c r="P26" s="59">
        <f t="shared" ca="1" si="2"/>
        <v>0</v>
      </c>
    </row>
    <row r="27" spans="1:16" ht="18.75" x14ac:dyDescent="0.25">
      <c r="A27" s="62"/>
      <c r="B27" s="63"/>
      <c r="C27" s="63"/>
      <c r="D27" s="64" t="s">
        <v>22</v>
      </c>
      <c r="E27" s="63"/>
      <c r="F27" s="63"/>
      <c r="G27" s="65"/>
      <c r="H27" s="66" t="s">
        <v>12</v>
      </c>
      <c r="I27" s="67"/>
      <c r="J27" s="67"/>
      <c r="K27" s="68"/>
      <c r="L27" s="69">
        <f t="shared" ref="L27:N27" ca="1" si="11">L28+L29</f>
        <v>0</v>
      </c>
      <c r="M27" s="69">
        <f t="shared" ca="1" si="11"/>
        <v>0</v>
      </c>
      <c r="N27" s="69">
        <f t="shared" ca="1" si="11"/>
        <v>0</v>
      </c>
      <c r="O27" s="69">
        <f t="shared" ca="1" si="1"/>
        <v>0</v>
      </c>
      <c r="P27" s="69">
        <f t="shared" ca="1" si="2"/>
        <v>0</v>
      </c>
    </row>
    <row r="28" spans="1:16" ht="18.75" x14ac:dyDescent="0.25">
      <c r="A28" s="52"/>
      <c r="B28" s="53"/>
      <c r="C28" s="53"/>
      <c r="D28" s="53"/>
      <c r="E28" s="60" t="s">
        <v>18</v>
      </c>
      <c r="F28" s="53"/>
      <c r="G28" s="55"/>
      <c r="H28" s="56" t="s">
        <v>12</v>
      </c>
      <c r="I28" s="57"/>
      <c r="J28" s="57"/>
      <c r="K28" s="58"/>
      <c r="L28" s="59">
        <f t="shared" ref="L28:N28" ca="1" si="12">L54</f>
        <v>0</v>
      </c>
      <c r="M28" s="59">
        <f t="shared" ca="1" si="12"/>
        <v>0</v>
      </c>
      <c r="N28" s="59">
        <f t="shared" ca="1" si="12"/>
        <v>0</v>
      </c>
      <c r="O28" s="59">
        <f t="shared" ca="1" si="1"/>
        <v>0</v>
      </c>
      <c r="P28" s="59">
        <f t="shared" ca="1" si="2"/>
        <v>0</v>
      </c>
    </row>
    <row r="29" spans="1:16" ht="18.75" x14ac:dyDescent="0.25">
      <c r="A29" s="70"/>
      <c r="B29" s="71"/>
      <c r="C29" s="71"/>
      <c r="D29" s="71"/>
      <c r="E29" s="72" t="s">
        <v>19</v>
      </c>
      <c r="F29" s="71"/>
      <c r="G29" s="73"/>
      <c r="H29" s="74" t="s">
        <v>12</v>
      </c>
      <c r="I29" s="75"/>
      <c r="J29" s="75"/>
      <c r="K29" s="76"/>
      <c r="L29" s="77">
        <f t="shared" ref="L29:N29" ca="1" si="13">L55</f>
        <v>0</v>
      </c>
      <c r="M29" s="77">
        <f t="shared" ca="1" si="13"/>
        <v>0</v>
      </c>
      <c r="N29" s="77">
        <f t="shared" ca="1" si="13"/>
        <v>0</v>
      </c>
      <c r="O29" s="77">
        <f t="shared" ca="1" si="1"/>
        <v>0</v>
      </c>
      <c r="P29" s="77">
        <f t="shared" ca="1" si="2"/>
        <v>0</v>
      </c>
    </row>
    <row r="30" spans="1:16" ht="19.5" hidden="1" x14ac:dyDescent="0.3">
      <c r="A30" s="494"/>
      <c r="B30" s="492"/>
      <c r="C30" s="492"/>
      <c r="D30" s="492"/>
      <c r="E30" s="492"/>
      <c r="F30" s="492"/>
      <c r="G30" s="493"/>
      <c r="H30" s="32"/>
      <c r="I30" s="34"/>
      <c r="J30" s="34"/>
      <c r="K30" s="35"/>
      <c r="L30" s="35"/>
      <c r="M30" s="35"/>
      <c r="N30" s="35"/>
      <c r="O30" s="35"/>
      <c r="P30" s="35"/>
    </row>
    <row r="31" spans="1:16" ht="19.5" hidden="1" x14ac:dyDescent="0.3">
      <c r="A31" s="16"/>
      <c r="B31" s="17"/>
      <c r="C31" s="18"/>
      <c r="D31" s="19"/>
      <c r="E31" s="17"/>
      <c r="F31" s="17"/>
      <c r="G31" s="20"/>
      <c r="H31" s="21"/>
      <c r="I31" s="22"/>
      <c r="J31" s="22"/>
      <c r="K31" s="23"/>
      <c r="L31" s="24"/>
      <c r="M31" s="24"/>
      <c r="N31" s="24"/>
      <c r="O31" s="24"/>
      <c r="P31" s="24"/>
    </row>
    <row r="32" spans="1:16" ht="18.75" hidden="1" x14ac:dyDescent="0.25">
      <c r="A32" s="16"/>
      <c r="B32" s="17"/>
      <c r="C32" s="17"/>
      <c r="D32" s="17"/>
      <c r="E32" s="25"/>
      <c r="F32" s="17"/>
      <c r="G32" s="20"/>
      <c r="H32" s="26"/>
      <c r="I32" s="22"/>
      <c r="J32" s="22"/>
      <c r="K32" s="23"/>
      <c r="L32" s="27"/>
      <c r="M32" s="27"/>
      <c r="N32" s="27"/>
      <c r="O32" s="27"/>
      <c r="P32" s="27"/>
    </row>
    <row r="33" spans="1:16" ht="18.75" hidden="1" x14ac:dyDescent="0.25">
      <c r="A33" s="16"/>
      <c r="B33" s="17"/>
      <c r="C33" s="17"/>
      <c r="D33" s="17"/>
      <c r="E33" s="25"/>
      <c r="F33" s="17"/>
      <c r="G33" s="20"/>
      <c r="H33" s="26"/>
      <c r="I33" s="22"/>
      <c r="J33" s="22"/>
      <c r="K33" s="23"/>
      <c r="L33" s="27"/>
      <c r="M33" s="27"/>
      <c r="N33" s="27"/>
      <c r="O33" s="27"/>
      <c r="P33" s="27"/>
    </row>
    <row r="34" spans="1:16" ht="18.75" hidden="1" x14ac:dyDescent="0.25">
      <c r="A34" s="16"/>
      <c r="B34" s="17"/>
      <c r="C34" s="17"/>
      <c r="D34" s="28"/>
      <c r="E34" s="17"/>
      <c r="F34" s="17"/>
      <c r="G34" s="20"/>
      <c r="H34" s="26"/>
      <c r="I34" s="22"/>
      <c r="J34" s="22"/>
      <c r="K34" s="23"/>
      <c r="L34" s="27"/>
      <c r="M34" s="27"/>
      <c r="N34" s="27"/>
      <c r="O34" s="27"/>
      <c r="P34" s="27"/>
    </row>
    <row r="35" spans="1:16" ht="18.75" hidden="1" x14ac:dyDescent="0.25">
      <c r="A35" s="16"/>
      <c r="B35" s="17"/>
      <c r="C35" s="17"/>
      <c r="D35" s="17"/>
      <c r="E35" s="25"/>
      <c r="F35" s="17"/>
      <c r="G35" s="20"/>
      <c r="H35" s="26"/>
      <c r="I35" s="22"/>
      <c r="J35" s="22"/>
      <c r="K35" s="23"/>
      <c r="L35" s="27"/>
      <c r="M35" s="27"/>
      <c r="N35" s="27"/>
      <c r="O35" s="27"/>
      <c r="P35" s="27"/>
    </row>
    <row r="36" spans="1:16" ht="18.75" hidden="1" x14ac:dyDescent="0.25">
      <c r="A36" s="16"/>
      <c r="B36" s="17"/>
      <c r="C36" s="17"/>
      <c r="D36" s="17"/>
      <c r="E36" s="25"/>
      <c r="F36" s="17"/>
      <c r="G36" s="20"/>
      <c r="H36" s="26"/>
      <c r="I36" s="22"/>
      <c r="J36" s="22"/>
      <c r="K36" s="23"/>
      <c r="L36" s="27"/>
      <c r="M36" s="27"/>
      <c r="N36" s="27"/>
      <c r="O36" s="27"/>
      <c r="P36" s="27"/>
    </row>
    <row r="37" spans="1:16" ht="18.75" hidden="1" x14ac:dyDescent="0.25">
      <c r="A37" s="16"/>
      <c r="B37" s="17"/>
      <c r="C37" s="17"/>
      <c r="D37" s="28"/>
      <c r="E37" s="17"/>
      <c r="F37" s="17"/>
      <c r="G37" s="20"/>
      <c r="H37" s="26"/>
      <c r="I37" s="22"/>
      <c r="J37" s="22"/>
      <c r="K37" s="23"/>
      <c r="L37" s="27"/>
      <c r="M37" s="27"/>
      <c r="N37" s="27"/>
      <c r="O37" s="27"/>
      <c r="P37" s="27"/>
    </row>
    <row r="38" spans="1:16" ht="18.75" hidden="1" x14ac:dyDescent="0.25">
      <c r="A38" s="16"/>
      <c r="B38" s="17"/>
      <c r="C38" s="17"/>
      <c r="D38" s="17"/>
      <c r="E38" s="25"/>
      <c r="F38" s="17"/>
      <c r="G38" s="20"/>
      <c r="H38" s="26"/>
      <c r="I38" s="22"/>
      <c r="J38" s="22"/>
      <c r="K38" s="23"/>
      <c r="L38" s="27"/>
      <c r="M38" s="27"/>
      <c r="N38" s="27"/>
      <c r="O38" s="27"/>
      <c r="P38" s="27"/>
    </row>
    <row r="39" spans="1:16" ht="18.75" hidden="1" x14ac:dyDescent="0.25">
      <c r="A39" s="29"/>
      <c r="B39" s="30"/>
      <c r="C39" s="30"/>
      <c r="D39" s="30"/>
      <c r="E39" s="31"/>
      <c r="F39" s="30"/>
      <c r="G39" s="32"/>
      <c r="H39" s="33"/>
      <c r="I39" s="34"/>
      <c r="J39" s="34"/>
      <c r="K39" s="35"/>
      <c r="L39" s="36"/>
      <c r="M39" s="36"/>
      <c r="N39" s="36"/>
      <c r="O39" s="36"/>
      <c r="P39" s="36"/>
    </row>
    <row r="40" spans="1:16" ht="19.5" x14ac:dyDescent="0.3">
      <c r="A40" s="78" t="s">
        <v>23</v>
      </c>
      <c r="B40" s="79"/>
      <c r="C40" s="79"/>
      <c r="D40" s="79"/>
      <c r="E40" s="79"/>
      <c r="F40" s="79"/>
      <c r="G40" s="80"/>
      <c r="H40" s="80"/>
      <c r="I40" s="81"/>
      <c r="J40" s="81"/>
      <c r="K40" s="82"/>
      <c r="L40" s="83">
        <f t="shared" ref="L40:N40" ca="1" si="14">L44+L59+L72+L94+L125+L139+L157+L173+L186+L266+L282+L303+L320+L333+L356</f>
        <v>22020856</v>
      </c>
      <c r="M40" s="83">
        <f t="shared" ca="1" si="14"/>
        <v>18364239</v>
      </c>
      <c r="N40" s="83">
        <f t="shared" ca="1" si="14"/>
        <v>6973727.6699999897</v>
      </c>
      <c r="O40" s="83">
        <f ca="1">IF(L40&gt;0,N40*100/L40,0)</f>
        <v>31.668740170681783</v>
      </c>
      <c r="P40" s="83">
        <f ca="1">IF(M40&gt;0,N40*100/M40,0)</f>
        <v>37.97449853489703</v>
      </c>
    </row>
    <row r="41" spans="1:16" ht="19.5" x14ac:dyDescent="0.3">
      <c r="A41" s="84" t="s">
        <v>24</v>
      </c>
      <c r="B41" s="85"/>
      <c r="C41" s="85"/>
      <c r="D41" s="85"/>
      <c r="E41" s="85"/>
      <c r="F41" s="85"/>
      <c r="G41" s="85"/>
      <c r="H41" s="85"/>
      <c r="I41" s="86"/>
      <c r="J41" s="86"/>
      <c r="K41" s="87"/>
      <c r="L41" s="87"/>
      <c r="M41" s="87"/>
      <c r="N41" s="87"/>
      <c r="O41" s="87"/>
      <c r="P41" s="88"/>
    </row>
    <row r="42" spans="1:16" ht="19.5" x14ac:dyDescent="0.3">
      <c r="A42" s="89"/>
      <c r="B42" s="90" t="s">
        <v>25</v>
      </c>
      <c r="C42" s="89"/>
      <c r="D42" s="89"/>
      <c r="E42" s="89"/>
      <c r="F42" s="89"/>
      <c r="G42" s="89"/>
      <c r="H42" s="91"/>
      <c r="I42" s="92"/>
      <c r="J42" s="92"/>
      <c r="K42" s="93"/>
      <c r="L42" s="93"/>
      <c r="M42" s="93"/>
      <c r="N42" s="93"/>
      <c r="O42" s="93"/>
      <c r="P42" s="93"/>
    </row>
    <row r="43" spans="1:16" ht="19.5" hidden="1" x14ac:dyDescent="0.3">
      <c r="A43" s="16"/>
      <c r="B43" s="17"/>
      <c r="C43" s="18"/>
      <c r="D43" s="19"/>
      <c r="E43" s="17"/>
      <c r="F43" s="17"/>
      <c r="G43" s="20"/>
      <c r="H43" s="21"/>
      <c r="I43" s="22"/>
      <c r="J43" s="22"/>
      <c r="K43" s="23"/>
      <c r="L43" s="24"/>
      <c r="M43" s="24"/>
      <c r="N43" s="24"/>
      <c r="O43" s="24"/>
      <c r="P43" s="24"/>
    </row>
    <row r="44" spans="1:16" ht="19.5" x14ac:dyDescent="0.3">
      <c r="A44" s="94"/>
      <c r="B44" s="95"/>
      <c r="C44" s="96" t="s">
        <v>16</v>
      </c>
      <c r="D44" s="97" t="s">
        <v>17</v>
      </c>
      <c r="E44" s="95"/>
      <c r="F44" s="95"/>
      <c r="G44" s="98"/>
      <c r="H44" s="99" t="s">
        <v>12</v>
      </c>
      <c r="I44" s="100"/>
      <c r="J44" s="100"/>
      <c r="K44" s="101"/>
      <c r="L44" s="102">
        <f t="shared" ref="L44:N44" ca="1" si="15">L45+L46</f>
        <v>3854031</v>
      </c>
      <c r="M44" s="102">
        <f t="shared" ca="1" si="15"/>
        <v>4045214</v>
      </c>
      <c r="N44" s="102">
        <f t="shared" ca="1" si="15"/>
        <v>1571977.96</v>
      </c>
      <c r="O44" s="102">
        <f t="shared" ref="O44:O55" ca="1" si="16">IF(L44&gt;0,N44*100/L44,0)</f>
        <v>40.787890912138486</v>
      </c>
      <c r="P44" s="102">
        <f t="shared" ref="P44:P55" ca="1" si="17">IF(M44&gt;0,N44*100/M44,0)</f>
        <v>38.860192810565771</v>
      </c>
    </row>
    <row r="45" spans="1:16" ht="18.75" x14ac:dyDescent="0.25">
      <c r="A45" s="94"/>
      <c r="B45" s="95"/>
      <c r="C45" s="95"/>
      <c r="D45" s="95"/>
      <c r="E45" s="103" t="s">
        <v>18</v>
      </c>
      <c r="F45" s="95"/>
      <c r="G45" s="98"/>
      <c r="H45" s="104" t="s">
        <v>12</v>
      </c>
      <c r="I45" s="100"/>
      <c r="J45" s="100"/>
      <c r="K45" s="101"/>
      <c r="L45" s="105">
        <f t="shared" ref="L45:N45" ca="1" si="18">L48+L51+L54</f>
        <v>0</v>
      </c>
      <c r="M45" s="105">
        <f t="shared" ca="1" si="18"/>
        <v>0</v>
      </c>
      <c r="N45" s="105">
        <f t="shared" ca="1" si="18"/>
        <v>0</v>
      </c>
      <c r="O45" s="105">
        <f t="shared" ca="1" si="16"/>
        <v>0</v>
      </c>
      <c r="P45" s="105">
        <f t="shared" ca="1" si="17"/>
        <v>0</v>
      </c>
    </row>
    <row r="46" spans="1:16" ht="18.75" x14ac:dyDescent="0.25">
      <c r="A46" s="94"/>
      <c r="B46" s="95"/>
      <c r="C46" s="95"/>
      <c r="D46" s="95"/>
      <c r="E46" s="103" t="s">
        <v>19</v>
      </c>
      <c r="F46" s="95"/>
      <c r="G46" s="98"/>
      <c r="H46" s="104" t="s">
        <v>12</v>
      </c>
      <c r="I46" s="100"/>
      <c r="J46" s="100"/>
      <c r="K46" s="101"/>
      <c r="L46" s="105">
        <f t="shared" ref="L46:N46" ca="1" si="19">L49+L52+L55</f>
        <v>3854031</v>
      </c>
      <c r="M46" s="105">
        <f t="shared" ca="1" si="19"/>
        <v>4045214</v>
      </c>
      <c r="N46" s="105">
        <f t="shared" ca="1" si="19"/>
        <v>1571977.96</v>
      </c>
      <c r="O46" s="105">
        <f t="shared" ca="1" si="16"/>
        <v>40.787890912138486</v>
      </c>
      <c r="P46" s="105">
        <f t="shared" ca="1" si="17"/>
        <v>38.860192810565771</v>
      </c>
    </row>
    <row r="47" spans="1:16" ht="18.75" x14ac:dyDescent="0.25">
      <c r="A47" s="52"/>
      <c r="B47" s="53"/>
      <c r="C47" s="53"/>
      <c r="D47" s="54" t="s">
        <v>20</v>
      </c>
      <c r="E47" s="53"/>
      <c r="F47" s="53"/>
      <c r="G47" s="55"/>
      <c r="H47" s="56" t="s">
        <v>12</v>
      </c>
      <c r="I47" s="57"/>
      <c r="J47" s="57"/>
      <c r="K47" s="58"/>
      <c r="L47" s="59">
        <f t="shared" ref="L47:N47" ca="1" si="20">L48+L49</f>
        <v>3854031</v>
      </c>
      <c r="M47" s="59">
        <f t="shared" ca="1" si="20"/>
        <v>4045214</v>
      </c>
      <c r="N47" s="59">
        <f t="shared" ca="1" si="20"/>
        <v>1571977.96</v>
      </c>
      <c r="O47" s="59">
        <f t="shared" ca="1" si="16"/>
        <v>40.787890912138486</v>
      </c>
      <c r="P47" s="59">
        <f t="shared" ca="1" si="17"/>
        <v>38.860192810565771</v>
      </c>
    </row>
    <row r="48" spans="1:16" ht="18.75" x14ac:dyDescent="0.25">
      <c r="A48" s="52"/>
      <c r="B48" s="53"/>
      <c r="C48" s="53"/>
      <c r="D48" s="53"/>
      <c r="E48" s="60" t="s">
        <v>18</v>
      </c>
      <c r="F48" s="53"/>
      <c r="G48" s="55"/>
      <c r="H48" s="56" t="s">
        <v>12</v>
      </c>
      <c r="I48" s="57"/>
      <c r="J48" s="57"/>
      <c r="K48" s="58"/>
      <c r="L48" s="59">
        <f ca="1">IFERROR(__xludf.DUMMYFUNCTION("IMPORTRANGE(""https://docs.google.com/spreadsheets/d/1kKUcYdkIfrgTSj8iHHHB2MD2FAtwyyocFgqGQn6ADyI/edit?usp=sharing"",""กระบี่!L48"")+IMPORTRANGE(""https://docs.google.com/spreadsheets/d/1GwtLaSlNZkLk7iDqcyZz22giiy40b_usZZBXYciEN1U/edit?usp=sharing"",""ชุม"&amp;"พร!L48"")+IMPORTRANGE(""https://docs.google.com/spreadsheets/d/16pAz3pOhQEZBhvFNMa5KGgZS6iKWpsKX0pg6tQmwFpo/edit?usp=sharing"",""ตรัง!L48"")+IMPORTRANGE(""https://docs.google.com/spreadsheets/d/1Dj4jcHCTV9JXKCaMoheSXS52JE63kDKyG7bPXnFogHk/edit?usp=sharing"&amp;""",""นครศรีธรรมราช!L48"")+IMPORTRANGE(""https://docs.google.com/spreadsheets/d/1iodCdmuK2GR3jzUwk8tpccY2JHQQA-87DLOtJP-ooyU/edit?usp=sharing"",""นราธิวาส!L48"")+IMPORTRANGE(""https://docs.google.com/spreadsheets/d/1SDNX3JhDdYRuIOsj0Wh2M-Qa_eaXl0NbWmhAOTbf"&amp;"QAs/edit?usp=sharing"",""ปัตตานี!L48"")+IMPORTRANGE(""https://docs.google.com/spreadsheets/d/16JDLGguT8s5DsGCND1KcwHP_AWR_zDMTqLHPLJUKhaU/edit?usp=sharing"",""พังงา!L48"")+IMPORTRANGE(""https://docs.google.com/spreadsheets/d/17ht0gPKzzT3PObBL1XJkeRmntBXI7"&amp;"wGjpLV7QorqlTk/edit?usp=sharing"",""พัทลุง!L48"")+IMPORTRANGE(""https://docs.google.com/spreadsheets/d/1rd4qoM1q_hsgaolqNGfrim9gbsoLxQsda4-vOz5x_BM/edit?usp=sharing"",""ภูเก็ต!L48"")+IMPORTRANGE(""https://docs.google.com/spreadsheets/d/1woKwKjgoLssDvPcPeV"&amp;"yezB5izizAn4X1JDrys69n6xI/edit?usp=sharing"",""ยะลา!L48"")+IMPORTRANGE(""https://docs.google.com/spreadsheets/d/1qfrKjzMhm2HJfxQ-qVlJlJQ25Hne1d0khsySbZyGtPA/edit?usp=sharing"",""ระนอง!L48"")+IMPORTRANGE(""https://docs.google.com/spreadsheets/d/1IbSCnFOKpZ"&amp;"snFogBHJnL_isstZVaOMnFiIN0fGTPZZw/edit?usp=sharing"",""สงขลา!L48"")+IMPORTRANGE(""https://docs.google.com/spreadsheets/d/1q9nWasZJ-K8bFGvbE9n0qSRuKGA4Toe3Y89cKCiVtCU/edit?usp=sharing"",""สตูล!L48"")+IMPORTRANGE(""https://docs.google.com/spreadsheets/d/18T"&amp;"20gbkS_WBjdscyTOV05cvq_JqvqQ17C81mpxf7Ncs/edit?usp=sharing"",""สุราษฎร์ธานี!L48"")"),0)</f>
        <v>0</v>
      </c>
      <c r="M48" s="59">
        <f ca="1">IFERROR(__xludf.DUMMYFUNCTION("IMPORTRANGE(""https://docs.google.com/spreadsheets/d/1kKUcYdkIfrgTSj8iHHHB2MD2FAtwyyocFgqGQn6ADyI/edit?usp=sharing"",""กระบี่!M48"")+IMPORTRANGE(""https://docs.google.com/spreadsheets/d/1GwtLaSlNZkLk7iDqcyZz22giiy40b_usZZBXYciEN1U/edit?usp=sharing"",""ชุม"&amp;"พร!M48"")+IMPORTRANGE(""https://docs.google.com/spreadsheets/d/16pAz3pOhQEZBhvFNMa5KGgZS6iKWpsKX0pg6tQmwFpo/edit?usp=sharing"",""ตรัง!M48"")+IMPORTRANGE(""https://docs.google.com/spreadsheets/d/1Dj4jcHCTV9JXKCaMoheSXS52JE63kDKyG7bPXnFogHk/edit?usp=sharing"&amp;""",""นครศรีธรรมราช!M48"")+IMPORTRANGE(""https://docs.google.com/spreadsheets/d/1iodCdmuK2GR3jzUwk8tpccY2JHQQA-87DLOtJP-ooyU/edit?usp=sharing"",""นราธิวาส!M48"")+IMPORTRANGE(""https://docs.google.com/spreadsheets/d/1SDNX3JhDdYRuIOsj0Wh2M-Qa_eaXl0NbWmhAOTbf"&amp;"QAs/edit?usp=sharing"",""ปัตตานี!M48"")+IMPORTRANGE(""https://docs.google.com/spreadsheets/d/16JDLGguT8s5DsGCND1KcwHP_AWR_zDMTqLHPLJUKhaU/edit?usp=sharing"",""พังงา!M48"")+IMPORTRANGE(""https://docs.google.com/spreadsheets/d/17ht0gPKzzT3PObBL1XJkeRmntBXI7"&amp;"wGjpLV7QorqlTk/edit?usp=sharing"",""พัทลุง!M48"")+IMPORTRANGE(""https://docs.google.com/spreadsheets/d/1rd4qoM1q_hsgaolqNGfrim9gbsoLxQsda4-vOz5x_BM/edit?usp=sharing"",""ภูเก็ต!M48"")+IMPORTRANGE(""https://docs.google.com/spreadsheets/d/1woKwKjgoLssDvPcPeV"&amp;"yezB5izizAn4X1JDrys69n6xI/edit?usp=sharing"",""ยะลา!M48"")+IMPORTRANGE(""https://docs.google.com/spreadsheets/d/1qfrKjzMhm2HJfxQ-qVlJlJQ25Hne1d0khsySbZyGtPA/edit?usp=sharing"",""ระนอง!M48"")+IMPORTRANGE(""https://docs.google.com/spreadsheets/d/1IbSCnFOKpZ"&amp;"snFogBHJnL_isstZVaOMnFiIN0fGTPZZw/edit?usp=sharing"",""สงขลา!M48"")+IMPORTRANGE(""https://docs.google.com/spreadsheets/d/1q9nWasZJ-K8bFGvbE9n0qSRuKGA4Toe3Y89cKCiVtCU/edit?usp=sharing"",""สตูล!M48"")+IMPORTRANGE(""https://docs.google.com/spreadsheets/d/18T"&amp;"20gbkS_WBjdscyTOV05cvq_JqvqQ17C81mpxf7Ncs/edit?usp=sharing"",""สุราษฎร์ธานี!M48"")"),0)</f>
        <v>0</v>
      </c>
      <c r="N48" s="59">
        <f ca="1">IFERROR(__xludf.DUMMYFUNCTION("IMPORTRANGE(""https://docs.google.com/spreadsheets/d/1kKUcYdkIfrgTSj8iHHHB2MD2FAtwyyocFgqGQn6ADyI/edit?usp=sharing"",""กระบี่!N48"")+IMPORTRANGE(""https://docs.google.com/spreadsheets/d/1GwtLaSlNZkLk7iDqcyZz22giiy40b_usZZBXYciEN1U/edit?usp=sharing"",""ชุม"&amp;"พร!N48"")+IMPORTRANGE(""https://docs.google.com/spreadsheets/d/16pAz3pOhQEZBhvFNMa5KGgZS6iKWpsKX0pg6tQmwFpo/edit?usp=sharing"",""ตรัง!N48"")+IMPORTRANGE(""https://docs.google.com/spreadsheets/d/1Dj4jcHCTV9JXKCaMoheSXS52JE63kDKyG7bPXnFogHk/edit?usp=sharing"&amp;""",""นครศรีธรรมราช!N48"")+IMPORTRANGE(""https://docs.google.com/spreadsheets/d/1iodCdmuK2GR3jzUwk8tpccY2JHQQA-87DLOtJP-ooyU/edit?usp=sharing"",""นราธิวาส!N48"")+IMPORTRANGE(""https://docs.google.com/spreadsheets/d/1SDNX3JhDdYRuIOsj0Wh2M-Qa_eaXl0NbWmhAOTbf"&amp;"QAs/edit?usp=sharing"",""ปัตตานี!N48"")+IMPORTRANGE(""https://docs.google.com/spreadsheets/d/16JDLGguT8s5DsGCND1KcwHP_AWR_zDMTqLHPLJUKhaU/edit?usp=sharing"",""พังงา!N48"")+IMPORTRANGE(""https://docs.google.com/spreadsheets/d/17ht0gPKzzT3PObBL1XJkeRmntBXI7"&amp;"wGjpLV7QorqlTk/edit?usp=sharing"",""พัทลุง!N48"")+IMPORTRANGE(""https://docs.google.com/spreadsheets/d/1rd4qoM1q_hsgaolqNGfrim9gbsoLxQsda4-vOz5x_BM/edit?usp=sharing"",""ภูเก็ต!N48"")+IMPORTRANGE(""https://docs.google.com/spreadsheets/d/1woKwKjgoLssDvPcPeV"&amp;"yezB5izizAn4X1JDrys69n6xI/edit?usp=sharing"",""ยะลา!N48"")+IMPORTRANGE(""https://docs.google.com/spreadsheets/d/1qfrKjzMhm2HJfxQ-qVlJlJQ25Hne1d0khsySbZyGtPA/edit?usp=sharing"",""ระนอง!N48"")+IMPORTRANGE(""https://docs.google.com/spreadsheets/d/1IbSCnFOKpZ"&amp;"snFogBHJnL_isstZVaOMnFiIN0fGTPZZw/edit?usp=sharing"",""สงขลา!N48"")+IMPORTRANGE(""https://docs.google.com/spreadsheets/d/1q9nWasZJ-K8bFGvbE9n0qSRuKGA4Toe3Y89cKCiVtCU/edit?usp=sharing"",""สตูล!N48"")+IMPORTRANGE(""https://docs.google.com/spreadsheets/d/18T"&amp;"20gbkS_WBjdscyTOV05cvq_JqvqQ17C81mpxf7Ncs/edit?usp=sharing"",""สุราษฎร์ธานี!N48"")"),0)</f>
        <v>0</v>
      </c>
      <c r="O48" s="59">
        <f t="shared" ca="1" si="16"/>
        <v>0</v>
      </c>
      <c r="P48" s="59">
        <f t="shared" ca="1" si="17"/>
        <v>0</v>
      </c>
    </row>
    <row r="49" spans="1:16" ht="18.75" x14ac:dyDescent="0.25">
      <c r="A49" s="52"/>
      <c r="B49" s="53"/>
      <c r="C49" s="53"/>
      <c r="D49" s="53"/>
      <c r="E49" s="60" t="s">
        <v>19</v>
      </c>
      <c r="F49" s="53"/>
      <c r="G49" s="55"/>
      <c r="H49" s="56" t="s">
        <v>12</v>
      </c>
      <c r="I49" s="57"/>
      <c r="J49" s="57"/>
      <c r="K49" s="58"/>
      <c r="L49" s="59">
        <f ca="1">IFERROR(__xludf.DUMMYFUNCTION("IMPORTRANGE(""https://docs.google.com/spreadsheets/d/1kKUcYdkIfrgTSj8iHHHB2MD2FAtwyyocFgqGQn6ADyI/edit?usp=sharing"",""กระบี่!L49"")+IMPORTRANGE(""https://docs.google.com/spreadsheets/d/1GwtLaSlNZkLk7iDqcyZz22giiy40b_usZZBXYciEN1U/edit?usp=sharing"",""ชุม"&amp;"พร!L49"")+IMPORTRANGE(""https://docs.google.com/spreadsheets/d/16pAz3pOhQEZBhvFNMa5KGgZS6iKWpsKX0pg6tQmwFpo/edit?usp=sharing"",""ตรัง!L49"")+IMPORTRANGE(""https://docs.google.com/spreadsheets/d/1Dj4jcHCTV9JXKCaMoheSXS52JE63kDKyG7bPXnFogHk/edit?usp=sharing"&amp;""",""นครศรีธรรมราช!L49"")+IMPORTRANGE(""https://docs.google.com/spreadsheets/d/1iodCdmuK2GR3jzUwk8tpccY2JHQQA-87DLOtJP-ooyU/edit?usp=sharing"",""นราธิวาส!L49"")+IMPORTRANGE(""https://docs.google.com/spreadsheets/d/1SDNX3JhDdYRuIOsj0Wh2M-Qa_eaXl0NbWmhAOTbf"&amp;"QAs/edit?usp=sharing"",""ปัตตานี!L49"")+IMPORTRANGE(""https://docs.google.com/spreadsheets/d/16JDLGguT8s5DsGCND1KcwHP_AWR_zDMTqLHPLJUKhaU/edit?usp=sharing"",""พังงา!L49"")+IMPORTRANGE(""https://docs.google.com/spreadsheets/d/17ht0gPKzzT3PObBL1XJkeRmntBXI7"&amp;"wGjpLV7QorqlTk/edit?usp=sharing"",""พัทลุง!L49"")+IMPORTRANGE(""https://docs.google.com/spreadsheets/d/1rd4qoM1q_hsgaolqNGfrim9gbsoLxQsda4-vOz5x_BM/edit?usp=sharing"",""ภูเก็ต!L49"")+IMPORTRANGE(""https://docs.google.com/spreadsheets/d/1woKwKjgoLssDvPcPeV"&amp;"yezB5izizAn4X1JDrys69n6xI/edit?usp=sharing"",""ยะลา!L49"")+IMPORTRANGE(""https://docs.google.com/spreadsheets/d/1qfrKjzMhm2HJfxQ-qVlJlJQ25Hne1d0khsySbZyGtPA/edit?usp=sharing"",""ระนอง!L49"")+IMPORTRANGE(""https://docs.google.com/spreadsheets/d/1IbSCnFOKpZ"&amp;"snFogBHJnL_isstZVaOMnFiIN0fGTPZZw/edit?usp=sharing"",""สงขลา!L49"")+IMPORTRANGE(""https://docs.google.com/spreadsheets/d/1q9nWasZJ-K8bFGvbE9n0qSRuKGA4Toe3Y89cKCiVtCU/edit?usp=sharing"",""สตูล!L49"")+IMPORTRANGE(""https://docs.google.com/spreadsheets/d/18T"&amp;"20gbkS_WBjdscyTOV05cvq_JqvqQ17C81mpxf7Ncs/edit?usp=sharing"",""สุราษฎร์ธานี!L49"")"),3854031)</f>
        <v>3854031</v>
      </c>
      <c r="M49" s="59">
        <f ca="1">IFERROR(__xludf.DUMMYFUNCTION("IMPORTRANGE(""https://docs.google.com/spreadsheets/d/1kKUcYdkIfrgTSj8iHHHB2MD2FAtwyyocFgqGQn6ADyI/edit?usp=sharing"",""กระบี่!M49"")+IMPORTRANGE(""https://docs.google.com/spreadsheets/d/1GwtLaSlNZkLk7iDqcyZz22giiy40b_usZZBXYciEN1U/edit?usp=sharing"",""ชุม"&amp;"พร!M49"")+IMPORTRANGE(""https://docs.google.com/spreadsheets/d/16pAz3pOhQEZBhvFNMa5KGgZS6iKWpsKX0pg6tQmwFpo/edit?usp=sharing"",""ตรัง!M49"")+IMPORTRANGE(""https://docs.google.com/spreadsheets/d/1Dj4jcHCTV9JXKCaMoheSXS52JE63kDKyG7bPXnFogHk/edit?usp=sharing"&amp;""",""นครศรีธรรมราช!M49"")+IMPORTRANGE(""https://docs.google.com/spreadsheets/d/1iodCdmuK2GR3jzUwk8tpccY2JHQQA-87DLOtJP-ooyU/edit?usp=sharing"",""นราธิวาส!M49"")+IMPORTRANGE(""https://docs.google.com/spreadsheets/d/1SDNX3JhDdYRuIOsj0Wh2M-Qa_eaXl0NbWmhAOTbf"&amp;"QAs/edit?usp=sharing"",""ปัตตานี!M49"")+IMPORTRANGE(""https://docs.google.com/spreadsheets/d/16JDLGguT8s5DsGCND1KcwHP_AWR_zDMTqLHPLJUKhaU/edit?usp=sharing"",""พังงา!M49"")+IMPORTRANGE(""https://docs.google.com/spreadsheets/d/17ht0gPKzzT3PObBL1XJkeRmntBXI7"&amp;"wGjpLV7QorqlTk/edit?usp=sharing"",""พัทลุง!M49"")+IMPORTRANGE(""https://docs.google.com/spreadsheets/d/1rd4qoM1q_hsgaolqNGfrim9gbsoLxQsda4-vOz5x_BM/edit?usp=sharing"",""ภูเก็ต!M49"")+IMPORTRANGE(""https://docs.google.com/spreadsheets/d/1woKwKjgoLssDvPcPeV"&amp;"yezB5izizAn4X1JDrys69n6xI/edit?usp=sharing"",""ยะลา!M49"")+IMPORTRANGE(""https://docs.google.com/spreadsheets/d/1qfrKjzMhm2HJfxQ-qVlJlJQ25Hne1d0khsySbZyGtPA/edit?usp=sharing"",""ระนอง!M49"")+IMPORTRANGE(""https://docs.google.com/spreadsheets/d/1IbSCnFOKpZ"&amp;"snFogBHJnL_isstZVaOMnFiIN0fGTPZZw/edit?usp=sharing"",""สงขลา!M49"")+IMPORTRANGE(""https://docs.google.com/spreadsheets/d/1q9nWasZJ-K8bFGvbE9n0qSRuKGA4Toe3Y89cKCiVtCU/edit?usp=sharing"",""สตูล!M49"")+IMPORTRANGE(""https://docs.google.com/spreadsheets/d/18T"&amp;"20gbkS_WBjdscyTOV05cvq_JqvqQ17C81mpxf7Ncs/edit?usp=sharing"",""สุราษฎร์ธานี!M49"")"),4045214)</f>
        <v>4045214</v>
      </c>
      <c r="N49" s="59">
        <f ca="1">IFERROR(__xludf.DUMMYFUNCTION("IMPORTRANGE(""https://docs.google.com/spreadsheets/d/1kKUcYdkIfrgTSj8iHHHB2MD2FAtwyyocFgqGQn6ADyI/edit?usp=sharing"",""กระบี่!N49"")+IMPORTRANGE(""https://docs.google.com/spreadsheets/d/1GwtLaSlNZkLk7iDqcyZz22giiy40b_usZZBXYciEN1U/edit?usp=sharing"",""ชุม"&amp;"พร!N49"")+IMPORTRANGE(""https://docs.google.com/spreadsheets/d/16pAz3pOhQEZBhvFNMa5KGgZS6iKWpsKX0pg6tQmwFpo/edit?usp=sharing"",""ตรัง!N49"")+IMPORTRANGE(""https://docs.google.com/spreadsheets/d/1Dj4jcHCTV9JXKCaMoheSXS52JE63kDKyG7bPXnFogHk/edit?usp=sharing"&amp;""",""นครศรีธรรมราช!N49"")+IMPORTRANGE(""https://docs.google.com/spreadsheets/d/1iodCdmuK2GR3jzUwk8tpccY2JHQQA-87DLOtJP-ooyU/edit?usp=sharing"",""นราธิวาส!N49"")+IMPORTRANGE(""https://docs.google.com/spreadsheets/d/1SDNX3JhDdYRuIOsj0Wh2M-Qa_eaXl0NbWmhAOTbf"&amp;"QAs/edit?usp=sharing"",""ปัตตานี!N49"")+IMPORTRANGE(""https://docs.google.com/spreadsheets/d/16JDLGguT8s5DsGCND1KcwHP_AWR_zDMTqLHPLJUKhaU/edit?usp=sharing"",""พังงา!N49"")+IMPORTRANGE(""https://docs.google.com/spreadsheets/d/17ht0gPKzzT3PObBL1XJkeRmntBXI7"&amp;"wGjpLV7QorqlTk/edit?usp=sharing"",""พัทลุง!N49"")+IMPORTRANGE(""https://docs.google.com/spreadsheets/d/1rd4qoM1q_hsgaolqNGfrim9gbsoLxQsda4-vOz5x_BM/edit?usp=sharing"",""ภูเก็ต!N49"")+IMPORTRANGE(""https://docs.google.com/spreadsheets/d/1woKwKjgoLssDvPcPeV"&amp;"yezB5izizAn4X1JDrys69n6xI/edit?usp=sharing"",""ยะลา!N49"")+IMPORTRANGE(""https://docs.google.com/spreadsheets/d/1qfrKjzMhm2HJfxQ-qVlJlJQ25Hne1d0khsySbZyGtPA/edit?usp=sharing"",""ระนอง!N49"")+IMPORTRANGE(""https://docs.google.com/spreadsheets/d/1IbSCnFOKpZ"&amp;"snFogBHJnL_isstZVaOMnFiIN0fGTPZZw/edit?usp=sharing"",""สงขลา!N49"")+IMPORTRANGE(""https://docs.google.com/spreadsheets/d/1q9nWasZJ-K8bFGvbE9n0qSRuKGA4Toe3Y89cKCiVtCU/edit?usp=sharing"",""สตูล!N49"")+IMPORTRANGE(""https://docs.google.com/spreadsheets/d/18T"&amp;"20gbkS_WBjdscyTOV05cvq_JqvqQ17C81mpxf7Ncs/edit?usp=sharing"",""สุราษฎร์ธานี!N49"")"),1571977.96)</f>
        <v>1571977.96</v>
      </c>
      <c r="O49" s="59">
        <f t="shared" ca="1" si="16"/>
        <v>40.787890912138486</v>
      </c>
      <c r="P49" s="59">
        <f t="shared" ca="1" si="17"/>
        <v>38.860192810565771</v>
      </c>
    </row>
    <row r="50" spans="1:16" ht="18.75" x14ac:dyDescent="0.25">
      <c r="A50" s="52"/>
      <c r="B50" s="53"/>
      <c r="C50" s="53"/>
      <c r="D50" s="106" t="s">
        <v>21</v>
      </c>
      <c r="E50" s="53"/>
      <c r="F50" s="53"/>
      <c r="G50" s="55"/>
      <c r="H50" s="56" t="s">
        <v>12</v>
      </c>
      <c r="I50" s="57"/>
      <c r="J50" s="57"/>
      <c r="K50" s="58"/>
      <c r="L50" s="59">
        <f t="shared" ref="L50:N50" ca="1" si="21">L51+L52</f>
        <v>0</v>
      </c>
      <c r="M50" s="59">
        <f t="shared" ca="1" si="21"/>
        <v>0</v>
      </c>
      <c r="N50" s="59">
        <f t="shared" ca="1" si="21"/>
        <v>0</v>
      </c>
      <c r="O50" s="59">
        <f t="shared" ca="1" si="16"/>
        <v>0</v>
      </c>
      <c r="P50" s="59">
        <f t="shared" ca="1" si="17"/>
        <v>0</v>
      </c>
    </row>
    <row r="51" spans="1:16" ht="18.75" x14ac:dyDescent="0.25">
      <c r="A51" s="52"/>
      <c r="B51" s="53"/>
      <c r="C51" s="53"/>
      <c r="D51" s="53"/>
      <c r="E51" s="60" t="s">
        <v>18</v>
      </c>
      <c r="F51" s="53"/>
      <c r="G51" s="55"/>
      <c r="H51" s="56" t="s">
        <v>12</v>
      </c>
      <c r="I51" s="57"/>
      <c r="J51" s="57"/>
      <c r="K51" s="58"/>
      <c r="L51" s="59">
        <f ca="1">IFERROR(__xludf.DUMMYFUNCTION("IMPORTRANGE(""https://docs.google.com/spreadsheets/d/1kKUcYdkIfrgTSj8iHHHB2MD2FAtwyyocFgqGQn6ADyI/edit?usp=sharing"",""กระบี่!L51"")+IMPORTRANGE(""https://docs.google.com/spreadsheets/d/1GwtLaSlNZkLk7iDqcyZz22giiy40b_usZZBXYciEN1U/edit?usp=sharing"",""ชุม"&amp;"พร!L51"")+IMPORTRANGE(""https://docs.google.com/spreadsheets/d/16pAz3pOhQEZBhvFNMa5KGgZS6iKWpsKX0pg6tQmwFpo/edit?usp=sharing"",""ตรัง!L51"")+IMPORTRANGE(""https://docs.google.com/spreadsheets/d/1Dj4jcHCTV9JXKCaMoheSXS52JE63kDKyG7bPXnFogHk/edit?usp=sharing"&amp;""",""นครศรีธรรมราช!L51"")+IMPORTRANGE(""https://docs.google.com/spreadsheets/d/1iodCdmuK2GR3jzUwk8tpccY2JHQQA-87DLOtJP-ooyU/edit?usp=sharing"",""นราธิวาส!L51"")+IMPORTRANGE(""https://docs.google.com/spreadsheets/d/1SDNX3JhDdYRuIOsj0Wh2M-Qa_eaXl0NbWmhAOTbf"&amp;"QAs/edit?usp=sharing"",""ปัตตานี!L51"")+IMPORTRANGE(""https://docs.google.com/spreadsheets/d/16JDLGguT8s5DsGCND1KcwHP_AWR_zDMTqLHPLJUKhaU/edit?usp=sharing"",""พังงา!L51"")+IMPORTRANGE(""https://docs.google.com/spreadsheets/d/17ht0gPKzzT3PObBL1XJkeRmntBXI7"&amp;"wGjpLV7QorqlTk/edit?usp=sharing"",""พัทลุง!L51"")+IMPORTRANGE(""https://docs.google.com/spreadsheets/d/1rd4qoM1q_hsgaolqNGfrim9gbsoLxQsda4-vOz5x_BM/edit?usp=sharing"",""ภูเก็ต!L51"")+IMPORTRANGE(""https://docs.google.com/spreadsheets/d/1woKwKjgoLssDvPcPeV"&amp;"yezB5izizAn4X1JDrys69n6xI/edit?usp=sharing"",""ยะลา!L51"")+IMPORTRANGE(""https://docs.google.com/spreadsheets/d/1qfrKjzMhm2HJfxQ-qVlJlJQ25Hne1d0khsySbZyGtPA/edit?usp=sharing"",""ระนอง!L51"")+IMPORTRANGE(""https://docs.google.com/spreadsheets/d/1IbSCnFOKpZ"&amp;"snFogBHJnL_isstZVaOMnFiIN0fGTPZZw/edit?usp=sharing"",""สงขลา!L51"")+IMPORTRANGE(""https://docs.google.com/spreadsheets/d/1q9nWasZJ-K8bFGvbE9n0qSRuKGA4Toe3Y89cKCiVtCU/edit?usp=sharing"",""สตูล!L51"")+IMPORTRANGE(""https://docs.google.com/spreadsheets/d/18T"&amp;"20gbkS_WBjdscyTOV05cvq_JqvqQ17C81mpxf7Ncs/edit?usp=sharing"",""สุราษฎร์ธานี!L51"")"),0)</f>
        <v>0</v>
      </c>
      <c r="M51" s="59">
        <f ca="1">IFERROR(__xludf.DUMMYFUNCTION("IMPORTRANGE(""https://docs.google.com/spreadsheets/d/1kKUcYdkIfrgTSj8iHHHB2MD2FAtwyyocFgqGQn6ADyI/edit?usp=sharing"",""กระบี่!M51"")+IMPORTRANGE(""https://docs.google.com/spreadsheets/d/1GwtLaSlNZkLk7iDqcyZz22giiy40b_usZZBXYciEN1U/edit?usp=sharing"",""ชุม"&amp;"พร!M51"")+IMPORTRANGE(""https://docs.google.com/spreadsheets/d/16pAz3pOhQEZBhvFNMa5KGgZS6iKWpsKX0pg6tQmwFpo/edit?usp=sharing"",""ตรัง!M51"")+IMPORTRANGE(""https://docs.google.com/spreadsheets/d/1Dj4jcHCTV9JXKCaMoheSXS52JE63kDKyG7bPXnFogHk/edit?usp=sharing"&amp;""",""นครศรีธรรมราช!M51"")+IMPORTRANGE(""https://docs.google.com/spreadsheets/d/1iodCdmuK2GR3jzUwk8tpccY2JHQQA-87DLOtJP-ooyU/edit?usp=sharing"",""นราธิวาส!M51"")+IMPORTRANGE(""https://docs.google.com/spreadsheets/d/1SDNX3JhDdYRuIOsj0Wh2M-Qa_eaXl0NbWmhAOTbf"&amp;"QAs/edit?usp=sharing"",""ปัตตานี!M51"")+IMPORTRANGE(""https://docs.google.com/spreadsheets/d/16JDLGguT8s5DsGCND1KcwHP_AWR_zDMTqLHPLJUKhaU/edit?usp=sharing"",""พังงา!M51"")+IMPORTRANGE(""https://docs.google.com/spreadsheets/d/17ht0gPKzzT3PObBL1XJkeRmntBXI7"&amp;"wGjpLV7QorqlTk/edit?usp=sharing"",""พัทลุง!M51"")+IMPORTRANGE(""https://docs.google.com/spreadsheets/d/1rd4qoM1q_hsgaolqNGfrim9gbsoLxQsda4-vOz5x_BM/edit?usp=sharing"",""ภูเก็ต!M51"")+IMPORTRANGE(""https://docs.google.com/spreadsheets/d/1woKwKjgoLssDvPcPeV"&amp;"yezB5izizAn4X1JDrys69n6xI/edit?usp=sharing"",""ยะลา!M51"")+IMPORTRANGE(""https://docs.google.com/spreadsheets/d/1qfrKjzMhm2HJfxQ-qVlJlJQ25Hne1d0khsySbZyGtPA/edit?usp=sharing"",""ระนอง!M51"")+IMPORTRANGE(""https://docs.google.com/spreadsheets/d/1IbSCnFOKpZ"&amp;"snFogBHJnL_isstZVaOMnFiIN0fGTPZZw/edit?usp=sharing"",""สงขลา!M51"")+IMPORTRANGE(""https://docs.google.com/spreadsheets/d/1q9nWasZJ-K8bFGvbE9n0qSRuKGA4Toe3Y89cKCiVtCU/edit?usp=sharing"",""สตูล!M51"")+IMPORTRANGE(""https://docs.google.com/spreadsheets/d/18T"&amp;"20gbkS_WBjdscyTOV05cvq_JqvqQ17C81mpxf7Ncs/edit?usp=sharing"",""สุราษฎร์ธานี!M51"")"),0)</f>
        <v>0</v>
      </c>
      <c r="N51" s="59">
        <f ca="1">IFERROR(__xludf.DUMMYFUNCTION("IMPORTRANGE(""https://docs.google.com/spreadsheets/d/1kKUcYdkIfrgTSj8iHHHB2MD2FAtwyyocFgqGQn6ADyI/edit?usp=sharing"",""กระบี่!N51"")+IMPORTRANGE(""https://docs.google.com/spreadsheets/d/1GwtLaSlNZkLk7iDqcyZz22giiy40b_usZZBXYciEN1U/edit?usp=sharing"",""ชุม"&amp;"พร!N51"")+IMPORTRANGE(""https://docs.google.com/spreadsheets/d/16pAz3pOhQEZBhvFNMa5KGgZS6iKWpsKX0pg6tQmwFpo/edit?usp=sharing"",""ตรัง!N51"")+IMPORTRANGE(""https://docs.google.com/spreadsheets/d/1Dj4jcHCTV9JXKCaMoheSXS52JE63kDKyG7bPXnFogHk/edit?usp=sharing"&amp;""",""นครศรีธรรมราช!N51"")+IMPORTRANGE(""https://docs.google.com/spreadsheets/d/1iodCdmuK2GR3jzUwk8tpccY2JHQQA-87DLOtJP-ooyU/edit?usp=sharing"",""นราธิวาส!N51"")+IMPORTRANGE(""https://docs.google.com/spreadsheets/d/1SDNX3JhDdYRuIOsj0Wh2M-Qa_eaXl0NbWmhAOTbf"&amp;"QAs/edit?usp=sharing"",""ปัตตานี!N51"")+IMPORTRANGE(""https://docs.google.com/spreadsheets/d/16JDLGguT8s5DsGCND1KcwHP_AWR_zDMTqLHPLJUKhaU/edit?usp=sharing"",""พังงา!N51"")+IMPORTRANGE(""https://docs.google.com/spreadsheets/d/17ht0gPKzzT3PObBL1XJkeRmntBXI7"&amp;"wGjpLV7QorqlTk/edit?usp=sharing"",""พัทลุง!N51"")+IMPORTRANGE(""https://docs.google.com/spreadsheets/d/1rd4qoM1q_hsgaolqNGfrim9gbsoLxQsda4-vOz5x_BM/edit?usp=sharing"",""ภูเก็ต!N51"")+IMPORTRANGE(""https://docs.google.com/spreadsheets/d/1woKwKjgoLssDvPcPeV"&amp;"yezB5izizAn4X1JDrys69n6xI/edit?usp=sharing"",""ยะลา!N51"")+IMPORTRANGE(""https://docs.google.com/spreadsheets/d/1qfrKjzMhm2HJfxQ-qVlJlJQ25Hne1d0khsySbZyGtPA/edit?usp=sharing"",""ระนอง!N51"")+IMPORTRANGE(""https://docs.google.com/spreadsheets/d/1IbSCnFOKpZ"&amp;"snFogBHJnL_isstZVaOMnFiIN0fGTPZZw/edit?usp=sharing"",""สงขลา!N51"")+IMPORTRANGE(""https://docs.google.com/spreadsheets/d/1q9nWasZJ-K8bFGvbE9n0qSRuKGA4Toe3Y89cKCiVtCU/edit?usp=sharing"",""สตูล!N51"")+IMPORTRANGE(""https://docs.google.com/spreadsheets/d/18T"&amp;"20gbkS_WBjdscyTOV05cvq_JqvqQ17C81mpxf7Ncs/edit?usp=sharing"",""สุราษฎร์ธานี!N51"")"),0)</f>
        <v>0</v>
      </c>
      <c r="O51" s="59">
        <f t="shared" ca="1" si="16"/>
        <v>0</v>
      </c>
      <c r="P51" s="59">
        <f t="shared" ca="1" si="17"/>
        <v>0</v>
      </c>
    </row>
    <row r="52" spans="1:16" ht="18.75" x14ac:dyDescent="0.25">
      <c r="A52" s="52"/>
      <c r="B52" s="53"/>
      <c r="C52" s="53"/>
      <c r="D52" s="53"/>
      <c r="E52" s="60" t="s">
        <v>19</v>
      </c>
      <c r="F52" s="53"/>
      <c r="G52" s="55"/>
      <c r="H52" s="56" t="s">
        <v>12</v>
      </c>
      <c r="I52" s="57"/>
      <c r="J52" s="57"/>
      <c r="K52" s="58"/>
      <c r="L52" s="59">
        <f ca="1">IFERROR(__xludf.DUMMYFUNCTION("IMPORTRANGE(""https://docs.google.com/spreadsheets/d/1kKUcYdkIfrgTSj8iHHHB2MD2FAtwyyocFgqGQn6ADyI/edit?usp=sharing"",""กระบี่!L52"")+IMPORTRANGE(""https://docs.google.com/spreadsheets/d/1GwtLaSlNZkLk7iDqcyZz22giiy40b_usZZBXYciEN1U/edit?usp=sharing"",""ชุม"&amp;"พร!L52"")+IMPORTRANGE(""https://docs.google.com/spreadsheets/d/16pAz3pOhQEZBhvFNMa5KGgZS6iKWpsKX0pg6tQmwFpo/edit?usp=sharing"",""ตรัง!L52"")+IMPORTRANGE(""https://docs.google.com/spreadsheets/d/1Dj4jcHCTV9JXKCaMoheSXS52JE63kDKyG7bPXnFogHk/edit?usp=sharing"&amp;""",""นครศรีธรรมราช!L52"")+IMPORTRANGE(""https://docs.google.com/spreadsheets/d/1iodCdmuK2GR3jzUwk8tpccY2JHQQA-87DLOtJP-ooyU/edit?usp=sharing"",""นราธิวาส!L52"")+IMPORTRANGE(""https://docs.google.com/spreadsheets/d/1SDNX3JhDdYRuIOsj0Wh2M-Qa_eaXl0NbWmhAOTbf"&amp;"QAs/edit?usp=sharing"",""ปัตตานี!L52"")+IMPORTRANGE(""https://docs.google.com/spreadsheets/d/16JDLGguT8s5DsGCND1KcwHP_AWR_zDMTqLHPLJUKhaU/edit?usp=sharing"",""พังงา!L52"")+IMPORTRANGE(""https://docs.google.com/spreadsheets/d/17ht0gPKzzT3PObBL1XJkeRmntBXI7"&amp;"wGjpLV7QorqlTk/edit?usp=sharing"",""พัทลุง!L52"")+IMPORTRANGE(""https://docs.google.com/spreadsheets/d/1rd4qoM1q_hsgaolqNGfrim9gbsoLxQsda4-vOz5x_BM/edit?usp=sharing"",""ภูเก็ต!L52"")+IMPORTRANGE(""https://docs.google.com/spreadsheets/d/1woKwKjgoLssDvPcPeV"&amp;"yezB5izizAn4X1JDrys69n6xI/edit?usp=sharing"",""ยะลา!L52"")+IMPORTRANGE(""https://docs.google.com/spreadsheets/d/1qfrKjzMhm2HJfxQ-qVlJlJQ25Hne1d0khsySbZyGtPA/edit?usp=sharing"",""ระนอง!L52"")+IMPORTRANGE(""https://docs.google.com/spreadsheets/d/1IbSCnFOKpZ"&amp;"snFogBHJnL_isstZVaOMnFiIN0fGTPZZw/edit?usp=sharing"",""สงขลา!L52"")+IMPORTRANGE(""https://docs.google.com/spreadsheets/d/1q9nWasZJ-K8bFGvbE9n0qSRuKGA4Toe3Y89cKCiVtCU/edit?usp=sharing"",""สตูล!L52"")+IMPORTRANGE(""https://docs.google.com/spreadsheets/d/18T"&amp;"20gbkS_WBjdscyTOV05cvq_JqvqQ17C81mpxf7Ncs/edit?usp=sharing"",""สุราษฎร์ธานี!L52"")"),0)</f>
        <v>0</v>
      </c>
      <c r="M52" s="59">
        <f ca="1">IFERROR(__xludf.DUMMYFUNCTION("IMPORTRANGE(""https://docs.google.com/spreadsheets/d/1kKUcYdkIfrgTSj8iHHHB2MD2FAtwyyocFgqGQn6ADyI/edit?usp=sharing"",""กระบี่!M52"")+IMPORTRANGE(""https://docs.google.com/spreadsheets/d/1GwtLaSlNZkLk7iDqcyZz22giiy40b_usZZBXYciEN1U/edit?usp=sharing"",""ชุม"&amp;"พร!M52"")+IMPORTRANGE(""https://docs.google.com/spreadsheets/d/16pAz3pOhQEZBhvFNMa5KGgZS6iKWpsKX0pg6tQmwFpo/edit?usp=sharing"",""ตรัง!M52"")+IMPORTRANGE(""https://docs.google.com/spreadsheets/d/1Dj4jcHCTV9JXKCaMoheSXS52JE63kDKyG7bPXnFogHk/edit?usp=sharing"&amp;""",""นครศรีธรรมราช!M52"")+IMPORTRANGE(""https://docs.google.com/spreadsheets/d/1iodCdmuK2GR3jzUwk8tpccY2JHQQA-87DLOtJP-ooyU/edit?usp=sharing"",""นราธิวาส!M52"")+IMPORTRANGE(""https://docs.google.com/spreadsheets/d/1SDNX3JhDdYRuIOsj0Wh2M-Qa_eaXl0NbWmhAOTbf"&amp;"QAs/edit?usp=sharing"",""ปัตตานี!M52"")+IMPORTRANGE(""https://docs.google.com/spreadsheets/d/16JDLGguT8s5DsGCND1KcwHP_AWR_zDMTqLHPLJUKhaU/edit?usp=sharing"",""พังงา!M52"")+IMPORTRANGE(""https://docs.google.com/spreadsheets/d/17ht0gPKzzT3PObBL1XJkeRmntBXI7"&amp;"wGjpLV7QorqlTk/edit?usp=sharing"",""พัทลุง!M52"")+IMPORTRANGE(""https://docs.google.com/spreadsheets/d/1rd4qoM1q_hsgaolqNGfrim9gbsoLxQsda4-vOz5x_BM/edit?usp=sharing"",""ภูเก็ต!M52"")+IMPORTRANGE(""https://docs.google.com/spreadsheets/d/1woKwKjgoLssDvPcPeV"&amp;"yezB5izizAn4X1JDrys69n6xI/edit?usp=sharing"",""ยะลา!M52"")+IMPORTRANGE(""https://docs.google.com/spreadsheets/d/1qfrKjzMhm2HJfxQ-qVlJlJQ25Hne1d0khsySbZyGtPA/edit?usp=sharing"",""ระนอง!M52"")+IMPORTRANGE(""https://docs.google.com/spreadsheets/d/1IbSCnFOKpZ"&amp;"snFogBHJnL_isstZVaOMnFiIN0fGTPZZw/edit?usp=sharing"",""สงขลา!M52"")+IMPORTRANGE(""https://docs.google.com/spreadsheets/d/1q9nWasZJ-K8bFGvbE9n0qSRuKGA4Toe3Y89cKCiVtCU/edit?usp=sharing"",""สตูล!M52"")+IMPORTRANGE(""https://docs.google.com/spreadsheets/d/18T"&amp;"20gbkS_WBjdscyTOV05cvq_JqvqQ17C81mpxf7Ncs/edit?usp=sharing"",""สุราษฎร์ธานี!M52"")"),0)</f>
        <v>0</v>
      </c>
      <c r="N52" s="59">
        <f ca="1">IFERROR(__xludf.DUMMYFUNCTION("IMPORTRANGE(""https://docs.google.com/spreadsheets/d/1kKUcYdkIfrgTSj8iHHHB2MD2FAtwyyocFgqGQn6ADyI/edit?usp=sharing"",""กระบี่!N52"")+IMPORTRANGE(""https://docs.google.com/spreadsheets/d/1GwtLaSlNZkLk7iDqcyZz22giiy40b_usZZBXYciEN1U/edit?usp=sharing"",""ชุม"&amp;"พร!N52"")+IMPORTRANGE(""https://docs.google.com/spreadsheets/d/16pAz3pOhQEZBhvFNMa5KGgZS6iKWpsKX0pg6tQmwFpo/edit?usp=sharing"",""ตรัง!N52"")+IMPORTRANGE(""https://docs.google.com/spreadsheets/d/1Dj4jcHCTV9JXKCaMoheSXS52JE63kDKyG7bPXnFogHk/edit?usp=sharing"&amp;""",""นครศรีธรรมราช!N52"")+IMPORTRANGE(""https://docs.google.com/spreadsheets/d/1iodCdmuK2GR3jzUwk8tpccY2JHQQA-87DLOtJP-ooyU/edit?usp=sharing"",""นราธิวาส!N52"")+IMPORTRANGE(""https://docs.google.com/spreadsheets/d/1SDNX3JhDdYRuIOsj0Wh2M-Qa_eaXl0NbWmhAOTbf"&amp;"QAs/edit?usp=sharing"",""ปัตตานี!N52"")+IMPORTRANGE(""https://docs.google.com/spreadsheets/d/16JDLGguT8s5DsGCND1KcwHP_AWR_zDMTqLHPLJUKhaU/edit?usp=sharing"",""พังงา!N52"")+IMPORTRANGE(""https://docs.google.com/spreadsheets/d/17ht0gPKzzT3PObBL1XJkeRmntBXI7"&amp;"wGjpLV7QorqlTk/edit?usp=sharing"",""พัทลุง!N52"")+IMPORTRANGE(""https://docs.google.com/spreadsheets/d/1rd4qoM1q_hsgaolqNGfrim9gbsoLxQsda4-vOz5x_BM/edit?usp=sharing"",""ภูเก็ต!N52"")+IMPORTRANGE(""https://docs.google.com/spreadsheets/d/1woKwKjgoLssDvPcPeV"&amp;"yezB5izizAn4X1JDrys69n6xI/edit?usp=sharing"",""ยะลา!N52"")+IMPORTRANGE(""https://docs.google.com/spreadsheets/d/1qfrKjzMhm2HJfxQ-qVlJlJQ25Hne1d0khsySbZyGtPA/edit?usp=sharing"",""ระนอง!N52"")+IMPORTRANGE(""https://docs.google.com/spreadsheets/d/1IbSCnFOKpZ"&amp;"snFogBHJnL_isstZVaOMnFiIN0fGTPZZw/edit?usp=sharing"",""สงขลา!N52"")+IMPORTRANGE(""https://docs.google.com/spreadsheets/d/1q9nWasZJ-K8bFGvbE9n0qSRuKGA4Toe3Y89cKCiVtCU/edit?usp=sharing"",""สตูล!N52"")+IMPORTRANGE(""https://docs.google.com/spreadsheets/d/18T"&amp;"20gbkS_WBjdscyTOV05cvq_JqvqQ17C81mpxf7Ncs/edit?usp=sharing"",""สุราษฎร์ธานี!N52"")"),0)</f>
        <v>0</v>
      </c>
      <c r="O52" s="59">
        <f t="shared" ca="1" si="16"/>
        <v>0</v>
      </c>
      <c r="P52" s="59">
        <f t="shared" ca="1" si="17"/>
        <v>0</v>
      </c>
    </row>
    <row r="53" spans="1:16" ht="18.75" x14ac:dyDescent="0.25">
      <c r="A53" s="62"/>
      <c r="B53" s="63"/>
      <c r="C53" s="63"/>
      <c r="D53" s="64" t="s">
        <v>22</v>
      </c>
      <c r="E53" s="63"/>
      <c r="F53" s="63"/>
      <c r="G53" s="65"/>
      <c r="H53" s="66" t="s">
        <v>12</v>
      </c>
      <c r="I53" s="67"/>
      <c r="J53" s="67"/>
      <c r="K53" s="68"/>
      <c r="L53" s="69">
        <f t="shared" ref="L53:N53" ca="1" si="22">L54+L55</f>
        <v>0</v>
      </c>
      <c r="M53" s="69">
        <f t="shared" ca="1" si="22"/>
        <v>0</v>
      </c>
      <c r="N53" s="69">
        <f t="shared" ca="1" si="22"/>
        <v>0</v>
      </c>
      <c r="O53" s="69">
        <f t="shared" ca="1" si="16"/>
        <v>0</v>
      </c>
      <c r="P53" s="69">
        <f t="shared" ca="1" si="17"/>
        <v>0</v>
      </c>
    </row>
    <row r="54" spans="1:16" ht="18.75" x14ac:dyDescent="0.25">
      <c r="A54" s="52"/>
      <c r="B54" s="53"/>
      <c r="C54" s="53"/>
      <c r="D54" s="53"/>
      <c r="E54" s="60" t="s">
        <v>18</v>
      </c>
      <c r="F54" s="53"/>
      <c r="G54" s="55"/>
      <c r="H54" s="56" t="s">
        <v>12</v>
      </c>
      <c r="I54" s="57"/>
      <c r="J54" s="57"/>
      <c r="K54" s="58"/>
      <c r="L54" s="59">
        <f ca="1">IFERROR(__xludf.DUMMYFUNCTION("IMPORTRANGE(""https://docs.google.com/spreadsheets/d/1kKUcYdkIfrgTSj8iHHHB2MD2FAtwyyocFgqGQn6ADyI/edit?usp=sharing"",""กระบี่!L54"")+IMPORTRANGE(""https://docs.google.com/spreadsheets/d/1GwtLaSlNZkLk7iDqcyZz22giiy40b_usZZBXYciEN1U/edit?usp=sharing"",""ชุม"&amp;"พร!L54"")+IMPORTRANGE(""https://docs.google.com/spreadsheets/d/16pAz3pOhQEZBhvFNMa5KGgZS6iKWpsKX0pg6tQmwFpo/edit?usp=sharing"",""ตรัง!L54"")+IMPORTRANGE(""https://docs.google.com/spreadsheets/d/1Dj4jcHCTV9JXKCaMoheSXS52JE63kDKyG7bPXnFogHk/edit?usp=sharing"&amp;""",""นครศรีธรรมราช!L54"")+IMPORTRANGE(""https://docs.google.com/spreadsheets/d/1iodCdmuK2GR3jzUwk8tpccY2JHQQA-87DLOtJP-ooyU/edit?usp=sharing"",""นราธิวาส!L54"")+IMPORTRANGE(""https://docs.google.com/spreadsheets/d/1SDNX3JhDdYRuIOsj0Wh2M-Qa_eaXl0NbWmhAOTbf"&amp;"QAs/edit?usp=sharing"",""ปัตตานี!L54"")+IMPORTRANGE(""https://docs.google.com/spreadsheets/d/16JDLGguT8s5DsGCND1KcwHP_AWR_zDMTqLHPLJUKhaU/edit?usp=sharing"",""พังงา!L54"")+IMPORTRANGE(""https://docs.google.com/spreadsheets/d/17ht0gPKzzT3PObBL1XJkeRmntBXI7"&amp;"wGjpLV7QorqlTk/edit?usp=sharing"",""พัทลุง!L54"")+IMPORTRANGE(""https://docs.google.com/spreadsheets/d/1rd4qoM1q_hsgaolqNGfrim9gbsoLxQsda4-vOz5x_BM/edit?usp=sharing"",""ภูเก็ต!L54"")+IMPORTRANGE(""https://docs.google.com/spreadsheets/d/1woKwKjgoLssDvPcPeV"&amp;"yezB5izizAn4X1JDrys69n6xI/edit?usp=sharing"",""ยะลา!L54"")+IMPORTRANGE(""https://docs.google.com/spreadsheets/d/1qfrKjzMhm2HJfxQ-qVlJlJQ25Hne1d0khsySbZyGtPA/edit?usp=sharing"",""ระนอง!L54"")+IMPORTRANGE(""https://docs.google.com/spreadsheets/d/1IbSCnFOKpZ"&amp;"snFogBHJnL_isstZVaOMnFiIN0fGTPZZw/edit?usp=sharing"",""สงขลา!L54"")+IMPORTRANGE(""https://docs.google.com/spreadsheets/d/1q9nWasZJ-K8bFGvbE9n0qSRuKGA4Toe3Y89cKCiVtCU/edit?usp=sharing"",""สตูล!L54"")+IMPORTRANGE(""https://docs.google.com/spreadsheets/d/18T"&amp;"20gbkS_WBjdscyTOV05cvq_JqvqQ17C81mpxf7Ncs/edit?usp=sharing"",""สุราษฎร์ธานี!L54"")"),0)</f>
        <v>0</v>
      </c>
      <c r="M54" s="59">
        <f ca="1">IFERROR(__xludf.DUMMYFUNCTION("IMPORTRANGE(""https://docs.google.com/spreadsheets/d/1kKUcYdkIfrgTSj8iHHHB2MD2FAtwyyocFgqGQn6ADyI/edit?usp=sharing"",""กระบี่!M54"")+IMPORTRANGE(""https://docs.google.com/spreadsheets/d/1GwtLaSlNZkLk7iDqcyZz22giiy40b_usZZBXYciEN1U/edit?usp=sharing"",""ชุม"&amp;"พร!M54"")+IMPORTRANGE(""https://docs.google.com/spreadsheets/d/16pAz3pOhQEZBhvFNMa5KGgZS6iKWpsKX0pg6tQmwFpo/edit?usp=sharing"",""ตรัง!M54"")+IMPORTRANGE(""https://docs.google.com/spreadsheets/d/1Dj4jcHCTV9JXKCaMoheSXS52JE63kDKyG7bPXnFogHk/edit?usp=sharing"&amp;""",""นครศรีธรรมราช!M54"")+IMPORTRANGE(""https://docs.google.com/spreadsheets/d/1iodCdmuK2GR3jzUwk8tpccY2JHQQA-87DLOtJP-ooyU/edit?usp=sharing"",""นราธิวาส!M54"")+IMPORTRANGE(""https://docs.google.com/spreadsheets/d/1SDNX3JhDdYRuIOsj0Wh2M-Qa_eaXl0NbWmhAOTbf"&amp;"QAs/edit?usp=sharing"",""ปัตตานี!M54"")+IMPORTRANGE(""https://docs.google.com/spreadsheets/d/16JDLGguT8s5DsGCND1KcwHP_AWR_zDMTqLHPLJUKhaU/edit?usp=sharing"",""พังงา!M54"")+IMPORTRANGE(""https://docs.google.com/spreadsheets/d/17ht0gPKzzT3PObBL1XJkeRmntBXI7"&amp;"wGjpLV7QorqlTk/edit?usp=sharing"",""พัทลุง!M54"")+IMPORTRANGE(""https://docs.google.com/spreadsheets/d/1rd4qoM1q_hsgaolqNGfrim9gbsoLxQsda4-vOz5x_BM/edit?usp=sharing"",""ภูเก็ต!M54"")+IMPORTRANGE(""https://docs.google.com/spreadsheets/d/1woKwKjgoLssDvPcPeV"&amp;"yezB5izizAn4X1JDrys69n6xI/edit?usp=sharing"",""ยะลา!M54"")+IMPORTRANGE(""https://docs.google.com/spreadsheets/d/1qfrKjzMhm2HJfxQ-qVlJlJQ25Hne1d0khsySbZyGtPA/edit?usp=sharing"",""ระนอง!M54"")+IMPORTRANGE(""https://docs.google.com/spreadsheets/d/1IbSCnFOKpZ"&amp;"snFogBHJnL_isstZVaOMnFiIN0fGTPZZw/edit?usp=sharing"",""สงขลา!M54"")+IMPORTRANGE(""https://docs.google.com/spreadsheets/d/1q9nWasZJ-K8bFGvbE9n0qSRuKGA4Toe3Y89cKCiVtCU/edit?usp=sharing"",""สตูล!M54"")+IMPORTRANGE(""https://docs.google.com/spreadsheets/d/18T"&amp;"20gbkS_WBjdscyTOV05cvq_JqvqQ17C81mpxf7Ncs/edit?usp=sharing"",""สุราษฎร์ธานี!M54"")"),0)</f>
        <v>0</v>
      </c>
      <c r="N54" s="59">
        <f ca="1">IFERROR(__xludf.DUMMYFUNCTION("IMPORTRANGE(""https://docs.google.com/spreadsheets/d/1kKUcYdkIfrgTSj8iHHHB2MD2FAtwyyocFgqGQn6ADyI/edit?usp=sharing"",""กระบี่!N54"")+IMPORTRANGE(""https://docs.google.com/spreadsheets/d/1GwtLaSlNZkLk7iDqcyZz22giiy40b_usZZBXYciEN1U/edit?usp=sharing"",""ชุม"&amp;"พร!N54"")+IMPORTRANGE(""https://docs.google.com/spreadsheets/d/16pAz3pOhQEZBhvFNMa5KGgZS6iKWpsKX0pg6tQmwFpo/edit?usp=sharing"",""ตรัง!N54"")+IMPORTRANGE(""https://docs.google.com/spreadsheets/d/1Dj4jcHCTV9JXKCaMoheSXS52JE63kDKyG7bPXnFogHk/edit?usp=sharing"&amp;""",""นครศรีธรรมราช!N54"")+IMPORTRANGE(""https://docs.google.com/spreadsheets/d/1iodCdmuK2GR3jzUwk8tpccY2JHQQA-87DLOtJP-ooyU/edit?usp=sharing"",""นราธิวาส!N54"")+IMPORTRANGE(""https://docs.google.com/spreadsheets/d/1SDNX3JhDdYRuIOsj0Wh2M-Qa_eaXl0NbWmhAOTbf"&amp;"QAs/edit?usp=sharing"",""ปัตตานี!N54"")+IMPORTRANGE(""https://docs.google.com/spreadsheets/d/16JDLGguT8s5DsGCND1KcwHP_AWR_zDMTqLHPLJUKhaU/edit?usp=sharing"",""พังงา!N54"")+IMPORTRANGE(""https://docs.google.com/spreadsheets/d/17ht0gPKzzT3PObBL1XJkeRmntBXI7"&amp;"wGjpLV7QorqlTk/edit?usp=sharing"",""พัทลุง!N54"")+IMPORTRANGE(""https://docs.google.com/spreadsheets/d/1rd4qoM1q_hsgaolqNGfrim9gbsoLxQsda4-vOz5x_BM/edit?usp=sharing"",""ภูเก็ต!N54"")+IMPORTRANGE(""https://docs.google.com/spreadsheets/d/1woKwKjgoLssDvPcPeV"&amp;"yezB5izizAn4X1JDrys69n6xI/edit?usp=sharing"",""ยะลา!N54"")+IMPORTRANGE(""https://docs.google.com/spreadsheets/d/1qfrKjzMhm2HJfxQ-qVlJlJQ25Hne1d0khsySbZyGtPA/edit?usp=sharing"",""ระนอง!N54"")+IMPORTRANGE(""https://docs.google.com/spreadsheets/d/1IbSCnFOKpZ"&amp;"snFogBHJnL_isstZVaOMnFiIN0fGTPZZw/edit?usp=sharing"",""สงขลา!N54"")+IMPORTRANGE(""https://docs.google.com/spreadsheets/d/1q9nWasZJ-K8bFGvbE9n0qSRuKGA4Toe3Y89cKCiVtCU/edit?usp=sharing"",""สตูล!N54"")+IMPORTRANGE(""https://docs.google.com/spreadsheets/d/18T"&amp;"20gbkS_WBjdscyTOV05cvq_JqvqQ17C81mpxf7Ncs/edit?usp=sharing"",""สุราษฎร์ธานี!N54"")"),0)</f>
        <v>0</v>
      </c>
      <c r="O54" s="59">
        <f t="shared" ca="1" si="16"/>
        <v>0</v>
      </c>
      <c r="P54" s="59">
        <f t="shared" ca="1" si="17"/>
        <v>0</v>
      </c>
    </row>
    <row r="55" spans="1:16" ht="18.75" x14ac:dyDescent="0.25">
      <c r="A55" s="70"/>
      <c r="B55" s="71"/>
      <c r="C55" s="71"/>
      <c r="D55" s="71"/>
      <c r="E55" s="72" t="s">
        <v>19</v>
      </c>
      <c r="F55" s="71"/>
      <c r="G55" s="73"/>
      <c r="H55" s="74" t="s">
        <v>12</v>
      </c>
      <c r="I55" s="75"/>
      <c r="J55" s="75"/>
      <c r="K55" s="76"/>
      <c r="L55" s="77">
        <f ca="1">IFERROR(__xludf.DUMMYFUNCTION("IMPORTRANGE(""https://docs.google.com/spreadsheets/d/1kKUcYdkIfrgTSj8iHHHB2MD2FAtwyyocFgqGQn6ADyI/edit?usp=sharing"",""กระบี่!L55"")+IMPORTRANGE(""https://docs.google.com/spreadsheets/d/1GwtLaSlNZkLk7iDqcyZz22giiy40b_usZZBXYciEN1U/edit?usp=sharing"",""ชุม"&amp;"พร!L55"")+IMPORTRANGE(""https://docs.google.com/spreadsheets/d/16pAz3pOhQEZBhvFNMa5KGgZS6iKWpsKX0pg6tQmwFpo/edit?usp=sharing"",""ตรัง!L55"")+IMPORTRANGE(""https://docs.google.com/spreadsheets/d/1Dj4jcHCTV9JXKCaMoheSXS52JE63kDKyG7bPXnFogHk/edit?usp=sharing"&amp;""",""นครศรีธรรมราช!L55"")+IMPORTRANGE(""https://docs.google.com/spreadsheets/d/1iodCdmuK2GR3jzUwk8tpccY2JHQQA-87DLOtJP-ooyU/edit?usp=sharing"",""นราธิวาส!L55"")+IMPORTRANGE(""https://docs.google.com/spreadsheets/d/1SDNX3JhDdYRuIOsj0Wh2M-Qa_eaXl0NbWmhAOTbf"&amp;"QAs/edit?usp=sharing"",""ปัตตานี!L55"")+IMPORTRANGE(""https://docs.google.com/spreadsheets/d/16JDLGguT8s5DsGCND1KcwHP_AWR_zDMTqLHPLJUKhaU/edit?usp=sharing"",""พังงา!L55"")+IMPORTRANGE(""https://docs.google.com/spreadsheets/d/17ht0gPKzzT3PObBL1XJkeRmntBXI7"&amp;"wGjpLV7QorqlTk/edit?usp=sharing"",""พัทลุง!L55"")+IMPORTRANGE(""https://docs.google.com/spreadsheets/d/1rd4qoM1q_hsgaolqNGfrim9gbsoLxQsda4-vOz5x_BM/edit?usp=sharing"",""ภูเก็ต!L55"")+IMPORTRANGE(""https://docs.google.com/spreadsheets/d/1woKwKjgoLssDvPcPeV"&amp;"yezB5izizAn4X1JDrys69n6xI/edit?usp=sharing"",""ยะลา!L55"")+IMPORTRANGE(""https://docs.google.com/spreadsheets/d/1qfrKjzMhm2HJfxQ-qVlJlJQ25Hne1d0khsySbZyGtPA/edit?usp=sharing"",""ระนอง!L55"")+IMPORTRANGE(""https://docs.google.com/spreadsheets/d/1IbSCnFOKpZ"&amp;"snFogBHJnL_isstZVaOMnFiIN0fGTPZZw/edit?usp=sharing"",""สงขลา!L55"")+IMPORTRANGE(""https://docs.google.com/spreadsheets/d/1q9nWasZJ-K8bFGvbE9n0qSRuKGA4Toe3Y89cKCiVtCU/edit?usp=sharing"",""สตูล!L55"")+IMPORTRANGE(""https://docs.google.com/spreadsheets/d/18T"&amp;"20gbkS_WBjdscyTOV05cvq_JqvqQ17C81mpxf7Ncs/edit?usp=sharing"",""สุราษฎร์ธานี!L55"")"),0)</f>
        <v>0</v>
      </c>
      <c r="M55" s="77">
        <f ca="1">IFERROR(__xludf.DUMMYFUNCTION("IMPORTRANGE(""https://docs.google.com/spreadsheets/d/1kKUcYdkIfrgTSj8iHHHB2MD2FAtwyyocFgqGQn6ADyI/edit?usp=sharing"",""กระบี่!M55"")+IMPORTRANGE(""https://docs.google.com/spreadsheets/d/1GwtLaSlNZkLk7iDqcyZz22giiy40b_usZZBXYciEN1U/edit?usp=sharing"",""ชุม"&amp;"พร!M55"")+IMPORTRANGE(""https://docs.google.com/spreadsheets/d/16pAz3pOhQEZBhvFNMa5KGgZS6iKWpsKX0pg6tQmwFpo/edit?usp=sharing"",""ตรัง!M55"")+IMPORTRANGE(""https://docs.google.com/spreadsheets/d/1Dj4jcHCTV9JXKCaMoheSXS52JE63kDKyG7bPXnFogHk/edit?usp=sharing"&amp;""",""นครศรีธรรมราช!M55"")+IMPORTRANGE(""https://docs.google.com/spreadsheets/d/1iodCdmuK2GR3jzUwk8tpccY2JHQQA-87DLOtJP-ooyU/edit?usp=sharing"",""นราธิวาส!M55"")+IMPORTRANGE(""https://docs.google.com/spreadsheets/d/1SDNX3JhDdYRuIOsj0Wh2M-Qa_eaXl0NbWmhAOTbf"&amp;"QAs/edit?usp=sharing"",""ปัตตานี!M55"")+IMPORTRANGE(""https://docs.google.com/spreadsheets/d/16JDLGguT8s5DsGCND1KcwHP_AWR_zDMTqLHPLJUKhaU/edit?usp=sharing"",""พังงา!M55"")+IMPORTRANGE(""https://docs.google.com/spreadsheets/d/17ht0gPKzzT3PObBL1XJkeRmntBXI7"&amp;"wGjpLV7QorqlTk/edit?usp=sharing"",""พัทลุง!M55"")+IMPORTRANGE(""https://docs.google.com/spreadsheets/d/1rd4qoM1q_hsgaolqNGfrim9gbsoLxQsda4-vOz5x_BM/edit?usp=sharing"",""ภูเก็ต!M55"")+IMPORTRANGE(""https://docs.google.com/spreadsheets/d/1woKwKjgoLssDvPcPeV"&amp;"yezB5izizAn4X1JDrys69n6xI/edit?usp=sharing"",""ยะลา!M55"")+IMPORTRANGE(""https://docs.google.com/spreadsheets/d/1qfrKjzMhm2HJfxQ-qVlJlJQ25Hne1d0khsySbZyGtPA/edit?usp=sharing"",""ระนอง!M55"")+IMPORTRANGE(""https://docs.google.com/spreadsheets/d/1IbSCnFOKpZ"&amp;"snFogBHJnL_isstZVaOMnFiIN0fGTPZZw/edit?usp=sharing"",""สงขลา!M55"")+IMPORTRANGE(""https://docs.google.com/spreadsheets/d/1q9nWasZJ-K8bFGvbE9n0qSRuKGA4Toe3Y89cKCiVtCU/edit?usp=sharing"",""สตูล!M55"")+IMPORTRANGE(""https://docs.google.com/spreadsheets/d/18T"&amp;"20gbkS_WBjdscyTOV05cvq_JqvqQ17C81mpxf7Ncs/edit?usp=sharing"",""สุราษฎร์ธานี!M55"")"),0)</f>
        <v>0</v>
      </c>
      <c r="N55" s="77">
        <f ca="1">IFERROR(__xludf.DUMMYFUNCTION("IMPORTRANGE(""https://docs.google.com/spreadsheets/d/1kKUcYdkIfrgTSj8iHHHB2MD2FAtwyyocFgqGQn6ADyI/edit?usp=sharing"",""กระบี่!N55"")+IMPORTRANGE(""https://docs.google.com/spreadsheets/d/1GwtLaSlNZkLk7iDqcyZz22giiy40b_usZZBXYciEN1U/edit?usp=sharing"",""ชุม"&amp;"พร!N55"")+IMPORTRANGE(""https://docs.google.com/spreadsheets/d/16pAz3pOhQEZBhvFNMa5KGgZS6iKWpsKX0pg6tQmwFpo/edit?usp=sharing"",""ตรัง!N55"")+IMPORTRANGE(""https://docs.google.com/spreadsheets/d/1Dj4jcHCTV9JXKCaMoheSXS52JE63kDKyG7bPXnFogHk/edit?usp=sharing"&amp;""",""นครศรีธรรมราช!N55"")+IMPORTRANGE(""https://docs.google.com/spreadsheets/d/1iodCdmuK2GR3jzUwk8tpccY2JHQQA-87DLOtJP-ooyU/edit?usp=sharing"",""นราธิวาส!N55"")+IMPORTRANGE(""https://docs.google.com/spreadsheets/d/1SDNX3JhDdYRuIOsj0Wh2M-Qa_eaXl0NbWmhAOTbf"&amp;"QAs/edit?usp=sharing"",""ปัตตานี!N55"")+IMPORTRANGE(""https://docs.google.com/spreadsheets/d/16JDLGguT8s5DsGCND1KcwHP_AWR_zDMTqLHPLJUKhaU/edit?usp=sharing"",""พังงา!N55"")+IMPORTRANGE(""https://docs.google.com/spreadsheets/d/17ht0gPKzzT3PObBL1XJkeRmntBXI7"&amp;"wGjpLV7QorqlTk/edit?usp=sharing"",""พัทลุง!N55"")+IMPORTRANGE(""https://docs.google.com/spreadsheets/d/1rd4qoM1q_hsgaolqNGfrim9gbsoLxQsda4-vOz5x_BM/edit?usp=sharing"",""ภูเก็ต!N55"")+IMPORTRANGE(""https://docs.google.com/spreadsheets/d/1woKwKjgoLssDvPcPeV"&amp;"yezB5izizAn4X1JDrys69n6xI/edit?usp=sharing"",""ยะลา!N55"")+IMPORTRANGE(""https://docs.google.com/spreadsheets/d/1qfrKjzMhm2HJfxQ-qVlJlJQ25Hne1d0khsySbZyGtPA/edit?usp=sharing"",""ระนอง!N55"")+IMPORTRANGE(""https://docs.google.com/spreadsheets/d/1IbSCnFOKpZ"&amp;"snFogBHJnL_isstZVaOMnFiIN0fGTPZZw/edit?usp=sharing"",""สงขลา!N55"")+IMPORTRANGE(""https://docs.google.com/spreadsheets/d/1q9nWasZJ-K8bFGvbE9n0qSRuKGA4Toe3Y89cKCiVtCU/edit?usp=sharing"",""สตูล!N55"")+IMPORTRANGE(""https://docs.google.com/spreadsheets/d/18T"&amp;"20gbkS_WBjdscyTOV05cvq_JqvqQ17C81mpxf7Ncs/edit?usp=sharing"",""สุราษฎร์ธานี!N55"")"),0)</f>
        <v>0</v>
      </c>
      <c r="O55" s="77">
        <f t="shared" ca="1" si="16"/>
        <v>0</v>
      </c>
      <c r="P55" s="77">
        <f t="shared" ca="1" si="17"/>
        <v>0</v>
      </c>
    </row>
    <row r="56" spans="1:16" ht="19.5" x14ac:dyDescent="0.3">
      <c r="A56" s="495" t="s">
        <v>26</v>
      </c>
      <c r="B56" s="489"/>
      <c r="C56" s="489"/>
      <c r="D56" s="489"/>
      <c r="E56" s="489"/>
      <c r="F56" s="489"/>
      <c r="G56" s="489"/>
      <c r="H56" s="107"/>
      <c r="I56" s="108"/>
      <c r="J56" s="108"/>
      <c r="K56" s="109"/>
      <c r="L56" s="109"/>
      <c r="M56" s="109"/>
      <c r="N56" s="109"/>
      <c r="O56" s="109"/>
      <c r="P56" s="110"/>
    </row>
    <row r="57" spans="1:16" ht="19.5" x14ac:dyDescent="0.3">
      <c r="A57" s="111"/>
      <c r="B57" s="496" t="s">
        <v>27</v>
      </c>
      <c r="C57" s="497"/>
      <c r="D57" s="497"/>
      <c r="E57" s="497"/>
      <c r="F57" s="497"/>
      <c r="G57" s="498"/>
      <c r="H57" s="112"/>
      <c r="I57" s="113"/>
      <c r="J57" s="113"/>
      <c r="K57" s="114"/>
      <c r="L57" s="114"/>
      <c r="M57" s="114"/>
      <c r="N57" s="114"/>
      <c r="O57" s="114"/>
      <c r="P57" s="114"/>
    </row>
    <row r="58" spans="1:16" ht="19.5" x14ac:dyDescent="0.3">
      <c r="A58" s="115"/>
      <c r="B58" s="116" t="s">
        <v>28</v>
      </c>
      <c r="C58" s="117"/>
      <c r="D58" s="117"/>
      <c r="E58" s="117"/>
      <c r="F58" s="117"/>
      <c r="G58" s="118"/>
      <c r="H58" s="118"/>
      <c r="I58" s="119"/>
      <c r="J58" s="119"/>
      <c r="K58" s="120"/>
      <c r="L58" s="120"/>
      <c r="M58" s="120"/>
      <c r="N58" s="120"/>
      <c r="O58" s="120"/>
      <c r="P58" s="120"/>
    </row>
    <row r="59" spans="1:16" ht="19.5" x14ac:dyDescent="0.3">
      <c r="A59" s="121"/>
      <c r="B59" s="122"/>
      <c r="C59" s="123" t="s">
        <v>16</v>
      </c>
      <c r="D59" s="124" t="s">
        <v>17</v>
      </c>
      <c r="E59" s="122"/>
      <c r="F59" s="122"/>
      <c r="G59" s="125"/>
      <c r="H59" s="126" t="s">
        <v>12</v>
      </c>
      <c r="I59" s="127"/>
      <c r="J59" s="127"/>
      <c r="K59" s="128"/>
      <c r="L59" s="129">
        <f t="shared" ref="L59:N59" ca="1" si="23">L60+L61</f>
        <v>5994600</v>
      </c>
      <c r="M59" s="129">
        <f t="shared" ca="1" si="23"/>
        <v>4584840</v>
      </c>
      <c r="N59" s="129">
        <f t="shared" ca="1" si="23"/>
        <v>2756141.96999999</v>
      </c>
      <c r="O59" s="129">
        <f t="shared" ref="O59:O67" ca="1" si="24">IF(L59&gt;0,N59*100/L59,0)</f>
        <v>45.977078870983718</v>
      </c>
      <c r="P59" s="129">
        <f t="shared" ref="P59:P67" ca="1" si="25">IF(M59&gt;0,N59*100/M59,0)</f>
        <v>60.114245426230575</v>
      </c>
    </row>
    <row r="60" spans="1:16" ht="18.75" x14ac:dyDescent="0.25">
      <c r="A60" s="121"/>
      <c r="B60" s="122"/>
      <c r="C60" s="122"/>
      <c r="D60" s="122"/>
      <c r="E60" s="130" t="s">
        <v>18</v>
      </c>
      <c r="F60" s="122"/>
      <c r="G60" s="125"/>
      <c r="H60" s="131" t="s">
        <v>12</v>
      </c>
      <c r="I60" s="127"/>
      <c r="J60" s="127"/>
      <c r="K60" s="128"/>
      <c r="L60" s="132">
        <f t="shared" ref="L60:N60" ca="1" si="26">L63+L66</f>
        <v>0</v>
      </c>
      <c r="M60" s="132">
        <f t="shared" ca="1" si="26"/>
        <v>0</v>
      </c>
      <c r="N60" s="132">
        <f t="shared" ca="1" si="26"/>
        <v>0</v>
      </c>
      <c r="O60" s="132">
        <f t="shared" ca="1" si="24"/>
        <v>0</v>
      </c>
      <c r="P60" s="132">
        <f t="shared" ca="1" si="25"/>
        <v>0</v>
      </c>
    </row>
    <row r="61" spans="1:16" ht="18.75" x14ac:dyDescent="0.25">
      <c r="A61" s="121"/>
      <c r="B61" s="122"/>
      <c r="C61" s="122"/>
      <c r="D61" s="122"/>
      <c r="E61" s="130" t="s">
        <v>19</v>
      </c>
      <c r="F61" s="122"/>
      <c r="G61" s="125"/>
      <c r="H61" s="131" t="s">
        <v>12</v>
      </c>
      <c r="I61" s="127"/>
      <c r="J61" s="127"/>
      <c r="K61" s="128"/>
      <c r="L61" s="132">
        <f t="shared" ref="L61:N61" ca="1" si="27">L64+L67</f>
        <v>5994600</v>
      </c>
      <c r="M61" s="132">
        <f t="shared" ca="1" si="27"/>
        <v>4584840</v>
      </c>
      <c r="N61" s="132">
        <f t="shared" ca="1" si="27"/>
        <v>2756141.96999999</v>
      </c>
      <c r="O61" s="132">
        <f t="shared" ca="1" si="24"/>
        <v>45.977078870983718</v>
      </c>
      <c r="P61" s="132">
        <f t="shared" ca="1" si="25"/>
        <v>60.114245426230575</v>
      </c>
    </row>
    <row r="62" spans="1:16" ht="18.75" x14ac:dyDescent="0.25">
      <c r="A62" s="52"/>
      <c r="B62" s="53"/>
      <c r="C62" s="53"/>
      <c r="D62" s="54" t="s">
        <v>20</v>
      </c>
      <c r="E62" s="53"/>
      <c r="F62" s="53"/>
      <c r="G62" s="55"/>
      <c r="H62" s="56" t="s">
        <v>12</v>
      </c>
      <c r="I62" s="57"/>
      <c r="J62" s="57"/>
      <c r="K62" s="58"/>
      <c r="L62" s="59">
        <f t="shared" ref="L62:N62" ca="1" si="28">L63+L64</f>
        <v>5994600</v>
      </c>
      <c r="M62" s="59">
        <f t="shared" ca="1" si="28"/>
        <v>4584840</v>
      </c>
      <c r="N62" s="59">
        <f t="shared" ca="1" si="28"/>
        <v>2756141.96999999</v>
      </c>
      <c r="O62" s="59">
        <f t="shared" ca="1" si="24"/>
        <v>45.977078870983718</v>
      </c>
      <c r="P62" s="59">
        <f t="shared" ca="1" si="25"/>
        <v>60.114245426230575</v>
      </c>
    </row>
    <row r="63" spans="1:16" ht="18.75" x14ac:dyDescent="0.25">
      <c r="A63" s="52"/>
      <c r="B63" s="53"/>
      <c r="C63" s="53"/>
      <c r="D63" s="53"/>
      <c r="E63" s="60" t="s">
        <v>18</v>
      </c>
      <c r="F63" s="53"/>
      <c r="G63" s="55"/>
      <c r="H63" s="56" t="s">
        <v>12</v>
      </c>
      <c r="I63" s="57"/>
      <c r="J63" s="57"/>
      <c r="K63" s="58"/>
      <c r="L63" s="59">
        <f ca="1">IFERROR(__xludf.DUMMYFUNCTION("IMPORTRANGE(""https://docs.google.com/spreadsheets/d/1kKUcYdkIfrgTSj8iHHHB2MD2FAtwyyocFgqGQn6ADyI/edit?usp=sharing"",""กระบี่!L63"")+IMPORTRANGE(""https://docs.google.com/spreadsheets/d/1GwtLaSlNZkLk7iDqcyZz22giiy40b_usZZBXYciEN1U/edit?usp=sharing"",""ชุม"&amp;"พร!L63"")+IMPORTRANGE(""https://docs.google.com/spreadsheets/d/16pAz3pOhQEZBhvFNMa5KGgZS6iKWpsKX0pg6tQmwFpo/edit?usp=sharing"",""ตรัง!L63"")+IMPORTRANGE(""https://docs.google.com/spreadsheets/d/1Dj4jcHCTV9JXKCaMoheSXS52JE63kDKyG7bPXnFogHk/edit?usp=sharing"&amp;""",""นครศรีธรรมราช!L63"")+IMPORTRANGE(""https://docs.google.com/spreadsheets/d/1iodCdmuK2GR3jzUwk8tpccY2JHQQA-87DLOtJP-ooyU/edit?usp=sharing"",""นราธิวาส!L63"")+IMPORTRANGE(""https://docs.google.com/spreadsheets/d/1SDNX3JhDdYRuIOsj0Wh2M-Qa_eaXl0NbWmhAOTbf"&amp;"QAs/edit?usp=sharing"",""ปัตตานี!L63"")+IMPORTRANGE(""https://docs.google.com/spreadsheets/d/16JDLGguT8s5DsGCND1KcwHP_AWR_zDMTqLHPLJUKhaU/edit?usp=sharing"",""พังงา!L63"")+IMPORTRANGE(""https://docs.google.com/spreadsheets/d/17ht0gPKzzT3PObBL1XJkeRmntBXI7"&amp;"wGjpLV7QorqlTk/edit?usp=sharing"",""พัทลุง!L63"")+IMPORTRANGE(""https://docs.google.com/spreadsheets/d/1rd4qoM1q_hsgaolqNGfrim9gbsoLxQsda4-vOz5x_BM/edit?usp=sharing"",""ภูเก็ต!L63"")+IMPORTRANGE(""https://docs.google.com/spreadsheets/d/1woKwKjgoLssDvPcPeV"&amp;"yezB5izizAn4X1JDrys69n6xI/edit?usp=sharing"",""ยะลา!L63"")+IMPORTRANGE(""https://docs.google.com/spreadsheets/d/1qfrKjzMhm2HJfxQ-qVlJlJQ25Hne1d0khsySbZyGtPA/edit?usp=sharing"",""ระนอง!L63"")+IMPORTRANGE(""https://docs.google.com/spreadsheets/d/1IbSCnFOKpZ"&amp;"snFogBHJnL_isstZVaOMnFiIN0fGTPZZw/edit?usp=sharing"",""สงขลา!L63"")+IMPORTRANGE(""https://docs.google.com/spreadsheets/d/1q9nWasZJ-K8bFGvbE9n0qSRuKGA4Toe3Y89cKCiVtCU/edit?usp=sharing"",""สตูล!L63"")+IMPORTRANGE(""https://docs.google.com/spreadsheets/d/18T"&amp;"20gbkS_WBjdscyTOV05cvq_JqvqQ17C81mpxf7Ncs/edit?usp=sharing"",""สุราษฎร์ธานี!L63"")"),0)</f>
        <v>0</v>
      </c>
      <c r="M63" s="59">
        <f ca="1">IFERROR(__xludf.DUMMYFUNCTION("IMPORTRANGE(""https://docs.google.com/spreadsheets/d/1kKUcYdkIfrgTSj8iHHHB2MD2FAtwyyocFgqGQn6ADyI/edit?usp=sharing"",""กระบี่!M63"")+IMPORTRANGE(""https://docs.google.com/spreadsheets/d/1GwtLaSlNZkLk7iDqcyZz22giiy40b_usZZBXYciEN1U/edit?usp=sharing"",""ชุม"&amp;"พร!M63"")+IMPORTRANGE(""https://docs.google.com/spreadsheets/d/16pAz3pOhQEZBhvFNMa5KGgZS6iKWpsKX0pg6tQmwFpo/edit?usp=sharing"",""ตรัง!M63"")+IMPORTRANGE(""https://docs.google.com/spreadsheets/d/1Dj4jcHCTV9JXKCaMoheSXS52JE63kDKyG7bPXnFogHk/edit?usp=sharing"&amp;""",""นครศรีธรรมราช!M63"")+IMPORTRANGE(""https://docs.google.com/spreadsheets/d/1iodCdmuK2GR3jzUwk8tpccY2JHQQA-87DLOtJP-ooyU/edit?usp=sharing"",""นราธิวาส!M63"")+IMPORTRANGE(""https://docs.google.com/spreadsheets/d/1SDNX3JhDdYRuIOsj0Wh2M-Qa_eaXl0NbWmhAOTbf"&amp;"QAs/edit?usp=sharing"",""ปัตตานี!M63"")+IMPORTRANGE(""https://docs.google.com/spreadsheets/d/16JDLGguT8s5DsGCND1KcwHP_AWR_zDMTqLHPLJUKhaU/edit?usp=sharing"",""พังงา!M63"")+IMPORTRANGE(""https://docs.google.com/spreadsheets/d/17ht0gPKzzT3PObBL1XJkeRmntBXI7"&amp;"wGjpLV7QorqlTk/edit?usp=sharing"",""พัทลุง!M63"")+IMPORTRANGE(""https://docs.google.com/spreadsheets/d/1rd4qoM1q_hsgaolqNGfrim9gbsoLxQsda4-vOz5x_BM/edit?usp=sharing"",""ภูเก็ต!M63"")+IMPORTRANGE(""https://docs.google.com/spreadsheets/d/1woKwKjgoLssDvPcPeV"&amp;"yezB5izizAn4X1JDrys69n6xI/edit?usp=sharing"",""ยะลา!M63"")+IMPORTRANGE(""https://docs.google.com/spreadsheets/d/1qfrKjzMhm2HJfxQ-qVlJlJQ25Hne1d0khsySbZyGtPA/edit?usp=sharing"",""ระนอง!M63"")+IMPORTRANGE(""https://docs.google.com/spreadsheets/d/1IbSCnFOKpZ"&amp;"snFogBHJnL_isstZVaOMnFiIN0fGTPZZw/edit?usp=sharing"",""สงขลา!M63"")+IMPORTRANGE(""https://docs.google.com/spreadsheets/d/1q9nWasZJ-K8bFGvbE9n0qSRuKGA4Toe3Y89cKCiVtCU/edit?usp=sharing"",""สตูล!M63"")+IMPORTRANGE(""https://docs.google.com/spreadsheets/d/18T"&amp;"20gbkS_WBjdscyTOV05cvq_JqvqQ17C81mpxf7Ncs/edit?usp=sharing"",""สุราษฎร์ธานี!M63"")"),0)</f>
        <v>0</v>
      </c>
      <c r="N63" s="59">
        <f ca="1">IFERROR(__xludf.DUMMYFUNCTION("IMPORTRANGE(""https://docs.google.com/spreadsheets/d/1kKUcYdkIfrgTSj8iHHHB2MD2FAtwyyocFgqGQn6ADyI/edit?usp=sharing"",""กระบี่!N63"")+IMPORTRANGE(""https://docs.google.com/spreadsheets/d/1GwtLaSlNZkLk7iDqcyZz22giiy40b_usZZBXYciEN1U/edit?usp=sharing"",""ชุม"&amp;"พร!N63"")+IMPORTRANGE(""https://docs.google.com/spreadsheets/d/16pAz3pOhQEZBhvFNMa5KGgZS6iKWpsKX0pg6tQmwFpo/edit?usp=sharing"",""ตรัง!N63"")+IMPORTRANGE(""https://docs.google.com/spreadsheets/d/1Dj4jcHCTV9JXKCaMoheSXS52JE63kDKyG7bPXnFogHk/edit?usp=sharing"&amp;""",""นครศรีธรรมราช!N63"")+IMPORTRANGE(""https://docs.google.com/spreadsheets/d/1iodCdmuK2GR3jzUwk8tpccY2JHQQA-87DLOtJP-ooyU/edit?usp=sharing"",""นราธิวาส!N63"")+IMPORTRANGE(""https://docs.google.com/spreadsheets/d/1SDNX3JhDdYRuIOsj0Wh2M-Qa_eaXl0NbWmhAOTbf"&amp;"QAs/edit?usp=sharing"",""ปัตตานี!N63"")+IMPORTRANGE(""https://docs.google.com/spreadsheets/d/16JDLGguT8s5DsGCND1KcwHP_AWR_zDMTqLHPLJUKhaU/edit?usp=sharing"",""พังงา!N63"")+IMPORTRANGE(""https://docs.google.com/spreadsheets/d/17ht0gPKzzT3PObBL1XJkeRmntBXI7"&amp;"wGjpLV7QorqlTk/edit?usp=sharing"",""พัทลุง!N63"")+IMPORTRANGE(""https://docs.google.com/spreadsheets/d/1rd4qoM1q_hsgaolqNGfrim9gbsoLxQsda4-vOz5x_BM/edit?usp=sharing"",""ภูเก็ต!N63"")+IMPORTRANGE(""https://docs.google.com/spreadsheets/d/1woKwKjgoLssDvPcPeV"&amp;"yezB5izizAn4X1JDrys69n6xI/edit?usp=sharing"",""ยะลา!N63"")+IMPORTRANGE(""https://docs.google.com/spreadsheets/d/1qfrKjzMhm2HJfxQ-qVlJlJQ25Hne1d0khsySbZyGtPA/edit?usp=sharing"",""ระนอง!N63"")+IMPORTRANGE(""https://docs.google.com/spreadsheets/d/1IbSCnFOKpZ"&amp;"snFogBHJnL_isstZVaOMnFiIN0fGTPZZw/edit?usp=sharing"",""สงขลา!N63"")+IMPORTRANGE(""https://docs.google.com/spreadsheets/d/1q9nWasZJ-K8bFGvbE9n0qSRuKGA4Toe3Y89cKCiVtCU/edit?usp=sharing"",""สตูล!N63"")+IMPORTRANGE(""https://docs.google.com/spreadsheets/d/18T"&amp;"20gbkS_WBjdscyTOV05cvq_JqvqQ17C81mpxf7Ncs/edit?usp=sharing"",""สุราษฎร์ธานี!N63"")"),0)</f>
        <v>0</v>
      </c>
      <c r="O63" s="59">
        <f t="shared" ca="1" si="24"/>
        <v>0</v>
      </c>
      <c r="P63" s="59">
        <f t="shared" ca="1" si="25"/>
        <v>0</v>
      </c>
    </row>
    <row r="64" spans="1:16" ht="18.75" x14ac:dyDescent="0.25">
      <c r="A64" s="52"/>
      <c r="B64" s="53"/>
      <c r="C64" s="53"/>
      <c r="D64" s="53"/>
      <c r="E64" s="60" t="s">
        <v>19</v>
      </c>
      <c r="F64" s="53"/>
      <c r="G64" s="55"/>
      <c r="H64" s="56" t="s">
        <v>12</v>
      </c>
      <c r="I64" s="57"/>
      <c r="J64" s="57"/>
      <c r="K64" s="58"/>
      <c r="L64" s="59">
        <f ca="1">IFERROR(__xludf.DUMMYFUNCTION("IMPORTRANGE(""https://docs.google.com/spreadsheets/d/1kKUcYdkIfrgTSj8iHHHB2MD2FAtwyyocFgqGQn6ADyI/edit?usp=sharing"",""กระบี่!L64"")+IMPORTRANGE(""https://docs.google.com/spreadsheets/d/1GwtLaSlNZkLk7iDqcyZz22giiy40b_usZZBXYciEN1U/edit?usp=sharing"",""ชุม"&amp;"พร!L64"")+IMPORTRANGE(""https://docs.google.com/spreadsheets/d/16pAz3pOhQEZBhvFNMa5KGgZS6iKWpsKX0pg6tQmwFpo/edit?usp=sharing"",""ตรัง!L64"")+IMPORTRANGE(""https://docs.google.com/spreadsheets/d/1Dj4jcHCTV9JXKCaMoheSXS52JE63kDKyG7bPXnFogHk/edit?usp=sharing"&amp;""",""นครศรีธรรมราช!L64"")+IMPORTRANGE(""https://docs.google.com/spreadsheets/d/1iodCdmuK2GR3jzUwk8tpccY2JHQQA-87DLOtJP-ooyU/edit?usp=sharing"",""นราธิวาส!L64"")+IMPORTRANGE(""https://docs.google.com/spreadsheets/d/1SDNX3JhDdYRuIOsj0Wh2M-Qa_eaXl0NbWmhAOTbf"&amp;"QAs/edit?usp=sharing"",""ปัตตานี!L64"")+IMPORTRANGE(""https://docs.google.com/spreadsheets/d/16JDLGguT8s5DsGCND1KcwHP_AWR_zDMTqLHPLJUKhaU/edit?usp=sharing"",""พังงา!L64"")+IMPORTRANGE(""https://docs.google.com/spreadsheets/d/17ht0gPKzzT3PObBL1XJkeRmntBXI7"&amp;"wGjpLV7QorqlTk/edit?usp=sharing"",""พัทลุง!L64"")+IMPORTRANGE(""https://docs.google.com/spreadsheets/d/1rd4qoM1q_hsgaolqNGfrim9gbsoLxQsda4-vOz5x_BM/edit?usp=sharing"",""ภูเก็ต!L64"")+IMPORTRANGE(""https://docs.google.com/spreadsheets/d/1woKwKjgoLssDvPcPeV"&amp;"yezB5izizAn4X1JDrys69n6xI/edit?usp=sharing"",""ยะลา!L64"")+IMPORTRANGE(""https://docs.google.com/spreadsheets/d/1qfrKjzMhm2HJfxQ-qVlJlJQ25Hne1d0khsySbZyGtPA/edit?usp=sharing"",""ระนอง!L64"")+IMPORTRANGE(""https://docs.google.com/spreadsheets/d/1IbSCnFOKpZ"&amp;"snFogBHJnL_isstZVaOMnFiIN0fGTPZZw/edit?usp=sharing"",""สงขลา!L64"")+IMPORTRANGE(""https://docs.google.com/spreadsheets/d/1q9nWasZJ-K8bFGvbE9n0qSRuKGA4Toe3Y89cKCiVtCU/edit?usp=sharing"",""สตูล!L64"")+IMPORTRANGE(""https://docs.google.com/spreadsheets/d/18T"&amp;"20gbkS_WBjdscyTOV05cvq_JqvqQ17C81mpxf7Ncs/edit?usp=sharing"",""สุราษฎร์ธานี!L64"")"),5994600)</f>
        <v>5994600</v>
      </c>
      <c r="M64" s="59">
        <f ca="1">IFERROR(__xludf.DUMMYFUNCTION("IMPORTRANGE(""https://docs.google.com/spreadsheets/d/1kKUcYdkIfrgTSj8iHHHB2MD2FAtwyyocFgqGQn6ADyI/edit?usp=sharing"",""กระบี่!M64"")+IMPORTRANGE(""https://docs.google.com/spreadsheets/d/1GwtLaSlNZkLk7iDqcyZz22giiy40b_usZZBXYciEN1U/edit?usp=sharing"",""ชุม"&amp;"พร!M64"")+IMPORTRANGE(""https://docs.google.com/spreadsheets/d/16pAz3pOhQEZBhvFNMa5KGgZS6iKWpsKX0pg6tQmwFpo/edit?usp=sharing"",""ตรัง!M64"")+IMPORTRANGE(""https://docs.google.com/spreadsheets/d/1Dj4jcHCTV9JXKCaMoheSXS52JE63kDKyG7bPXnFogHk/edit?usp=sharing"&amp;""",""นครศรีธรรมราช!M64"")+IMPORTRANGE(""https://docs.google.com/spreadsheets/d/1iodCdmuK2GR3jzUwk8tpccY2JHQQA-87DLOtJP-ooyU/edit?usp=sharing"",""นราธิวาส!M64"")+IMPORTRANGE(""https://docs.google.com/spreadsheets/d/1SDNX3JhDdYRuIOsj0Wh2M-Qa_eaXl0NbWmhAOTbf"&amp;"QAs/edit?usp=sharing"",""ปัตตานี!M64"")+IMPORTRANGE(""https://docs.google.com/spreadsheets/d/16JDLGguT8s5DsGCND1KcwHP_AWR_zDMTqLHPLJUKhaU/edit?usp=sharing"",""พังงา!M64"")+IMPORTRANGE(""https://docs.google.com/spreadsheets/d/17ht0gPKzzT3PObBL1XJkeRmntBXI7"&amp;"wGjpLV7QorqlTk/edit?usp=sharing"",""พัทลุง!M64"")+IMPORTRANGE(""https://docs.google.com/spreadsheets/d/1rd4qoM1q_hsgaolqNGfrim9gbsoLxQsda4-vOz5x_BM/edit?usp=sharing"",""ภูเก็ต!M64"")+IMPORTRANGE(""https://docs.google.com/spreadsheets/d/1woKwKjgoLssDvPcPeV"&amp;"yezB5izizAn4X1JDrys69n6xI/edit?usp=sharing"",""ยะลา!M64"")+IMPORTRANGE(""https://docs.google.com/spreadsheets/d/1qfrKjzMhm2HJfxQ-qVlJlJQ25Hne1d0khsySbZyGtPA/edit?usp=sharing"",""ระนอง!M64"")+IMPORTRANGE(""https://docs.google.com/spreadsheets/d/1IbSCnFOKpZ"&amp;"snFogBHJnL_isstZVaOMnFiIN0fGTPZZw/edit?usp=sharing"",""สงขลา!M64"")+IMPORTRANGE(""https://docs.google.com/spreadsheets/d/1q9nWasZJ-K8bFGvbE9n0qSRuKGA4Toe3Y89cKCiVtCU/edit?usp=sharing"",""สตูล!M64"")+IMPORTRANGE(""https://docs.google.com/spreadsheets/d/18T"&amp;"20gbkS_WBjdscyTOV05cvq_JqvqQ17C81mpxf7Ncs/edit?usp=sharing"",""สุราษฎร์ธานี!M64"")"),4584840)</f>
        <v>4584840</v>
      </c>
      <c r="N64" s="59">
        <f ca="1">IFERROR(__xludf.DUMMYFUNCTION("IMPORTRANGE(""https://docs.google.com/spreadsheets/d/1kKUcYdkIfrgTSj8iHHHB2MD2FAtwyyocFgqGQn6ADyI/edit?usp=sharing"",""กระบี่!N64"")+IMPORTRANGE(""https://docs.google.com/spreadsheets/d/1GwtLaSlNZkLk7iDqcyZz22giiy40b_usZZBXYciEN1U/edit?usp=sharing"",""ชุม"&amp;"พร!N64"")+IMPORTRANGE(""https://docs.google.com/spreadsheets/d/16pAz3pOhQEZBhvFNMa5KGgZS6iKWpsKX0pg6tQmwFpo/edit?usp=sharing"",""ตรัง!N64"")+IMPORTRANGE(""https://docs.google.com/spreadsheets/d/1Dj4jcHCTV9JXKCaMoheSXS52JE63kDKyG7bPXnFogHk/edit?usp=sharing"&amp;""",""นครศรีธรรมราช!N64"")+IMPORTRANGE(""https://docs.google.com/spreadsheets/d/1iodCdmuK2GR3jzUwk8tpccY2JHQQA-87DLOtJP-ooyU/edit?usp=sharing"",""นราธิวาส!N64"")+IMPORTRANGE(""https://docs.google.com/spreadsheets/d/1SDNX3JhDdYRuIOsj0Wh2M-Qa_eaXl0NbWmhAOTbf"&amp;"QAs/edit?usp=sharing"",""ปัตตานี!N64"")+IMPORTRANGE(""https://docs.google.com/spreadsheets/d/16JDLGguT8s5DsGCND1KcwHP_AWR_zDMTqLHPLJUKhaU/edit?usp=sharing"",""พังงา!N64"")+IMPORTRANGE(""https://docs.google.com/spreadsheets/d/17ht0gPKzzT3PObBL1XJkeRmntBXI7"&amp;"wGjpLV7QorqlTk/edit?usp=sharing"",""พัทลุง!N64"")+IMPORTRANGE(""https://docs.google.com/spreadsheets/d/1rd4qoM1q_hsgaolqNGfrim9gbsoLxQsda4-vOz5x_BM/edit?usp=sharing"",""ภูเก็ต!N64"")+IMPORTRANGE(""https://docs.google.com/spreadsheets/d/1woKwKjgoLssDvPcPeV"&amp;"yezB5izizAn4X1JDrys69n6xI/edit?usp=sharing"",""ยะลา!N64"")+IMPORTRANGE(""https://docs.google.com/spreadsheets/d/1qfrKjzMhm2HJfxQ-qVlJlJQ25Hne1d0khsySbZyGtPA/edit?usp=sharing"",""ระนอง!N64"")+IMPORTRANGE(""https://docs.google.com/spreadsheets/d/1IbSCnFOKpZ"&amp;"snFogBHJnL_isstZVaOMnFiIN0fGTPZZw/edit?usp=sharing"",""สงขลา!N64"")+IMPORTRANGE(""https://docs.google.com/spreadsheets/d/1q9nWasZJ-K8bFGvbE9n0qSRuKGA4Toe3Y89cKCiVtCU/edit?usp=sharing"",""สตูล!N64"")+IMPORTRANGE(""https://docs.google.com/spreadsheets/d/18T"&amp;"20gbkS_WBjdscyTOV05cvq_JqvqQ17C81mpxf7Ncs/edit?usp=sharing"",""สุราษฎร์ธานี!N64"")"),2756141.96999999)</f>
        <v>2756141.96999999</v>
      </c>
      <c r="O64" s="59">
        <f t="shared" ca="1" si="24"/>
        <v>45.977078870983718</v>
      </c>
      <c r="P64" s="59">
        <f t="shared" ca="1" si="25"/>
        <v>60.114245426230575</v>
      </c>
    </row>
    <row r="65" spans="1:16" ht="18.75" x14ac:dyDescent="0.25">
      <c r="A65" s="52"/>
      <c r="B65" s="53"/>
      <c r="C65" s="53"/>
      <c r="D65" s="54" t="s">
        <v>21</v>
      </c>
      <c r="E65" s="53"/>
      <c r="F65" s="53"/>
      <c r="G65" s="55"/>
      <c r="H65" s="56" t="s">
        <v>12</v>
      </c>
      <c r="I65" s="57"/>
      <c r="J65" s="57"/>
      <c r="K65" s="58"/>
      <c r="L65" s="59">
        <f t="shared" ref="L65:N65" ca="1" si="29">L66+L67</f>
        <v>0</v>
      </c>
      <c r="M65" s="59">
        <f t="shared" ca="1" si="29"/>
        <v>0</v>
      </c>
      <c r="N65" s="59">
        <f t="shared" ca="1" si="29"/>
        <v>0</v>
      </c>
      <c r="O65" s="59">
        <f t="shared" ca="1" si="24"/>
        <v>0</v>
      </c>
      <c r="P65" s="59">
        <f t="shared" ca="1" si="25"/>
        <v>0</v>
      </c>
    </row>
    <row r="66" spans="1:16" ht="18.75" x14ac:dyDescent="0.25">
      <c r="A66" s="52"/>
      <c r="B66" s="53"/>
      <c r="C66" s="53"/>
      <c r="D66" s="53"/>
      <c r="E66" s="60" t="s">
        <v>18</v>
      </c>
      <c r="F66" s="53"/>
      <c r="G66" s="55"/>
      <c r="H66" s="56" t="s">
        <v>12</v>
      </c>
      <c r="I66" s="57"/>
      <c r="J66" s="57"/>
      <c r="K66" s="58"/>
      <c r="L66" s="59">
        <f ca="1">IFERROR(__xludf.DUMMYFUNCTION("IMPORTRANGE(""https://docs.google.com/spreadsheets/d/1kKUcYdkIfrgTSj8iHHHB2MD2FAtwyyocFgqGQn6ADyI/edit?usp=sharing"",""กระบี่!L66"")+IMPORTRANGE(""https://docs.google.com/spreadsheets/d/1GwtLaSlNZkLk7iDqcyZz22giiy40b_usZZBXYciEN1U/edit?usp=sharing"",""ชุม"&amp;"พร!L66"")+IMPORTRANGE(""https://docs.google.com/spreadsheets/d/16pAz3pOhQEZBhvFNMa5KGgZS6iKWpsKX0pg6tQmwFpo/edit?usp=sharing"",""ตรัง!L66"")+IMPORTRANGE(""https://docs.google.com/spreadsheets/d/1Dj4jcHCTV9JXKCaMoheSXS52JE63kDKyG7bPXnFogHk/edit?usp=sharing"&amp;""",""นครศรีธรรมราช!L66"")+IMPORTRANGE(""https://docs.google.com/spreadsheets/d/1iodCdmuK2GR3jzUwk8tpccY2JHQQA-87DLOtJP-ooyU/edit?usp=sharing"",""นราธิวาส!L66"")+IMPORTRANGE(""https://docs.google.com/spreadsheets/d/1SDNX3JhDdYRuIOsj0Wh2M-Qa_eaXl0NbWmhAOTbf"&amp;"QAs/edit?usp=sharing"",""ปัตตานี!L66"")+IMPORTRANGE(""https://docs.google.com/spreadsheets/d/16JDLGguT8s5DsGCND1KcwHP_AWR_zDMTqLHPLJUKhaU/edit?usp=sharing"",""พังงา!L66"")+IMPORTRANGE(""https://docs.google.com/spreadsheets/d/17ht0gPKzzT3PObBL1XJkeRmntBXI7"&amp;"wGjpLV7QorqlTk/edit?usp=sharing"",""พัทลุง!L66"")+IMPORTRANGE(""https://docs.google.com/spreadsheets/d/1rd4qoM1q_hsgaolqNGfrim9gbsoLxQsda4-vOz5x_BM/edit?usp=sharing"",""ภูเก็ต!L66"")+IMPORTRANGE(""https://docs.google.com/spreadsheets/d/1woKwKjgoLssDvPcPeV"&amp;"yezB5izizAn4X1JDrys69n6xI/edit?usp=sharing"",""ยะลา!L66"")+IMPORTRANGE(""https://docs.google.com/spreadsheets/d/1qfrKjzMhm2HJfxQ-qVlJlJQ25Hne1d0khsySbZyGtPA/edit?usp=sharing"",""ระนอง!L66"")+IMPORTRANGE(""https://docs.google.com/spreadsheets/d/1IbSCnFOKpZ"&amp;"snFogBHJnL_isstZVaOMnFiIN0fGTPZZw/edit?usp=sharing"",""สงขลา!L66"")+IMPORTRANGE(""https://docs.google.com/spreadsheets/d/1q9nWasZJ-K8bFGvbE9n0qSRuKGA4Toe3Y89cKCiVtCU/edit?usp=sharing"",""สตูล!L66"")+IMPORTRANGE(""https://docs.google.com/spreadsheets/d/18T"&amp;"20gbkS_WBjdscyTOV05cvq_JqvqQ17C81mpxf7Ncs/edit?usp=sharing"",""สุราษฎร์ธานี!L66"")"),0)</f>
        <v>0</v>
      </c>
      <c r="M66" s="59">
        <f ca="1">IFERROR(__xludf.DUMMYFUNCTION("IMPORTRANGE(""https://docs.google.com/spreadsheets/d/1kKUcYdkIfrgTSj8iHHHB2MD2FAtwyyocFgqGQn6ADyI/edit?usp=sharing"",""กระบี่!M66"")+IMPORTRANGE(""https://docs.google.com/spreadsheets/d/1GwtLaSlNZkLk7iDqcyZz22giiy40b_usZZBXYciEN1U/edit?usp=sharing"",""ชุม"&amp;"พร!M66"")+IMPORTRANGE(""https://docs.google.com/spreadsheets/d/16pAz3pOhQEZBhvFNMa5KGgZS6iKWpsKX0pg6tQmwFpo/edit?usp=sharing"",""ตรัง!M66"")+IMPORTRANGE(""https://docs.google.com/spreadsheets/d/1Dj4jcHCTV9JXKCaMoheSXS52JE63kDKyG7bPXnFogHk/edit?usp=sharing"&amp;""",""นครศรีธรรมราช!M66"")+IMPORTRANGE(""https://docs.google.com/spreadsheets/d/1iodCdmuK2GR3jzUwk8tpccY2JHQQA-87DLOtJP-ooyU/edit?usp=sharing"",""นราธิวาส!M66"")+IMPORTRANGE(""https://docs.google.com/spreadsheets/d/1SDNX3JhDdYRuIOsj0Wh2M-Qa_eaXl0NbWmhAOTbf"&amp;"QAs/edit?usp=sharing"",""ปัตตานี!M66"")+IMPORTRANGE(""https://docs.google.com/spreadsheets/d/16JDLGguT8s5DsGCND1KcwHP_AWR_zDMTqLHPLJUKhaU/edit?usp=sharing"",""พังงา!M66"")+IMPORTRANGE(""https://docs.google.com/spreadsheets/d/17ht0gPKzzT3PObBL1XJkeRmntBXI7"&amp;"wGjpLV7QorqlTk/edit?usp=sharing"",""พัทลุง!M66"")+IMPORTRANGE(""https://docs.google.com/spreadsheets/d/1rd4qoM1q_hsgaolqNGfrim9gbsoLxQsda4-vOz5x_BM/edit?usp=sharing"",""ภูเก็ต!M66"")+IMPORTRANGE(""https://docs.google.com/spreadsheets/d/1woKwKjgoLssDvPcPeV"&amp;"yezB5izizAn4X1JDrys69n6xI/edit?usp=sharing"",""ยะลา!M66"")+IMPORTRANGE(""https://docs.google.com/spreadsheets/d/1qfrKjzMhm2HJfxQ-qVlJlJQ25Hne1d0khsySbZyGtPA/edit?usp=sharing"",""ระนอง!M66"")+IMPORTRANGE(""https://docs.google.com/spreadsheets/d/1IbSCnFOKpZ"&amp;"snFogBHJnL_isstZVaOMnFiIN0fGTPZZw/edit?usp=sharing"",""สงขลา!M66"")+IMPORTRANGE(""https://docs.google.com/spreadsheets/d/1q9nWasZJ-K8bFGvbE9n0qSRuKGA4Toe3Y89cKCiVtCU/edit?usp=sharing"",""สตูล!M66"")+IMPORTRANGE(""https://docs.google.com/spreadsheets/d/18T"&amp;"20gbkS_WBjdscyTOV05cvq_JqvqQ17C81mpxf7Ncs/edit?usp=sharing"",""สุราษฎร์ธานี!M66"")"),0)</f>
        <v>0</v>
      </c>
      <c r="N66" s="59">
        <f ca="1">IFERROR(__xludf.DUMMYFUNCTION("IMPORTRANGE(""https://docs.google.com/spreadsheets/d/1kKUcYdkIfrgTSj8iHHHB2MD2FAtwyyocFgqGQn6ADyI/edit?usp=sharing"",""กระบี่!N66"")+IMPORTRANGE(""https://docs.google.com/spreadsheets/d/1GwtLaSlNZkLk7iDqcyZz22giiy40b_usZZBXYciEN1U/edit?usp=sharing"",""ชุม"&amp;"พร!N66"")+IMPORTRANGE(""https://docs.google.com/spreadsheets/d/16pAz3pOhQEZBhvFNMa5KGgZS6iKWpsKX0pg6tQmwFpo/edit?usp=sharing"",""ตรัง!N66"")+IMPORTRANGE(""https://docs.google.com/spreadsheets/d/1Dj4jcHCTV9JXKCaMoheSXS52JE63kDKyG7bPXnFogHk/edit?usp=sharing"&amp;""",""นครศรีธรรมราช!N66"")+IMPORTRANGE(""https://docs.google.com/spreadsheets/d/1iodCdmuK2GR3jzUwk8tpccY2JHQQA-87DLOtJP-ooyU/edit?usp=sharing"",""นราธิวาส!N66"")+IMPORTRANGE(""https://docs.google.com/spreadsheets/d/1SDNX3JhDdYRuIOsj0Wh2M-Qa_eaXl0NbWmhAOTbf"&amp;"QAs/edit?usp=sharing"",""ปัตตานี!N66"")+IMPORTRANGE(""https://docs.google.com/spreadsheets/d/16JDLGguT8s5DsGCND1KcwHP_AWR_zDMTqLHPLJUKhaU/edit?usp=sharing"",""พังงา!N66"")+IMPORTRANGE(""https://docs.google.com/spreadsheets/d/17ht0gPKzzT3PObBL1XJkeRmntBXI7"&amp;"wGjpLV7QorqlTk/edit?usp=sharing"",""พัทลุง!N66"")+IMPORTRANGE(""https://docs.google.com/spreadsheets/d/1rd4qoM1q_hsgaolqNGfrim9gbsoLxQsda4-vOz5x_BM/edit?usp=sharing"",""ภูเก็ต!N66"")+IMPORTRANGE(""https://docs.google.com/spreadsheets/d/1woKwKjgoLssDvPcPeV"&amp;"yezB5izizAn4X1JDrys69n6xI/edit?usp=sharing"",""ยะลา!N66"")+IMPORTRANGE(""https://docs.google.com/spreadsheets/d/1qfrKjzMhm2HJfxQ-qVlJlJQ25Hne1d0khsySbZyGtPA/edit?usp=sharing"",""ระนอง!N66"")+IMPORTRANGE(""https://docs.google.com/spreadsheets/d/1IbSCnFOKpZ"&amp;"snFogBHJnL_isstZVaOMnFiIN0fGTPZZw/edit?usp=sharing"",""สงขลา!N66"")+IMPORTRANGE(""https://docs.google.com/spreadsheets/d/1q9nWasZJ-K8bFGvbE9n0qSRuKGA4Toe3Y89cKCiVtCU/edit?usp=sharing"",""สตูล!N66"")+IMPORTRANGE(""https://docs.google.com/spreadsheets/d/18T"&amp;"20gbkS_WBjdscyTOV05cvq_JqvqQ17C81mpxf7Ncs/edit?usp=sharing"",""สุราษฎร์ธานี!N66"")"),0)</f>
        <v>0</v>
      </c>
      <c r="O66" s="59">
        <f t="shared" ca="1" si="24"/>
        <v>0</v>
      </c>
      <c r="P66" s="59">
        <f t="shared" ca="1" si="25"/>
        <v>0</v>
      </c>
    </row>
    <row r="67" spans="1:16" ht="18.75" x14ac:dyDescent="0.25">
      <c r="A67" s="133"/>
      <c r="B67" s="1"/>
      <c r="C67" s="1"/>
      <c r="D67" s="1"/>
      <c r="E67" s="134" t="s">
        <v>19</v>
      </c>
      <c r="F67" s="1"/>
      <c r="G67" s="135"/>
      <c r="H67" s="136" t="s">
        <v>12</v>
      </c>
      <c r="I67" s="137"/>
      <c r="J67" s="137"/>
      <c r="K67" s="138"/>
      <c r="L67" s="139">
        <f ca="1">IFERROR(__xludf.DUMMYFUNCTION("IMPORTRANGE(""https://docs.google.com/spreadsheets/d/1kKUcYdkIfrgTSj8iHHHB2MD2FAtwyyocFgqGQn6ADyI/edit?usp=sharing"",""กระบี่!L67"")+IMPORTRANGE(""https://docs.google.com/spreadsheets/d/1GwtLaSlNZkLk7iDqcyZz22giiy40b_usZZBXYciEN1U/edit?usp=sharing"",""ชุม"&amp;"พร!L67"")+IMPORTRANGE(""https://docs.google.com/spreadsheets/d/16pAz3pOhQEZBhvFNMa5KGgZS6iKWpsKX0pg6tQmwFpo/edit?usp=sharing"",""ตรัง!L67"")+IMPORTRANGE(""https://docs.google.com/spreadsheets/d/1Dj4jcHCTV9JXKCaMoheSXS52JE63kDKyG7bPXnFogHk/edit?usp=sharing"&amp;""",""นครศรีธรรมราช!L67"")+IMPORTRANGE(""https://docs.google.com/spreadsheets/d/1iodCdmuK2GR3jzUwk8tpccY2JHQQA-87DLOtJP-ooyU/edit?usp=sharing"",""นราธิวาส!L67"")+IMPORTRANGE(""https://docs.google.com/spreadsheets/d/1SDNX3JhDdYRuIOsj0Wh2M-Qa_eaXl0NbWmhAOTbf"&amp;"QAs/edit?usp=sharing"",""ปัตตานี!L67"")+IMPORTRANGE(""https://docs.google.com/spreadsheets/d/16JDLGguT8s5DsGCND1KcwHP_AWR_zDMTqLHPLJUKhaU/edit?usp=sharing"",""พังงา!L67"")+IMPORTRANGE(""https://docs.google.com/spreadsheets/d/17ht0gPKzzT3PObBL1XJkeRmntBXI7"&amp;"wGjpLV7QorqlTk/edit?usp=sharing"",""พัทลุง!L67"")+IMPORTRANGE(""https://docs.google.com/spreadsheets/d/1rd4qoM1q_hsgaolqNGfrim9gbsoLxQsda4-vOz5x_BM/edit?usp=sharing"",""ภูเก็ต!L67"")+IMPORTRANGE(""https://docs.google.com/spreadsheets/d/1woKwKjgoLssDvPcPeV"&amp;"yezB5izizAn4X1JDrys69n6xI/edit?usp=sharing"",""ยะลา!L67"")+IMPORTRANGE(""https://docs.google.com/spreadsheets/d/1qfrKjzMhm2HJfxQ-qVlJlJQ25Hne1d0khsySbZyGtPA/edit?usp=sharing"",""ระนอง!L67"")+IMPORTRANGE(""https://docs.google.com/spreadsheets/d/1IbSCnFOKpZ"&amp;"snFogBHJnL_isstZVaOMnFiIN0fGTPZZw/edit?usp=sharing"",""สงขลา!L67"")+IMPORTRANGE(""https://docs.google.com/spreadsheets/d/1q9nWasZJ-K8bFGvbE9n0qSRuKGA4Toe3Y89cKCiVtCU/edit?usp=sharing"",""สตูล!L67"")+IMPORTRANGE(""https://docs.google.com/spreadsheets/d/18T"&amp;"20gbkS_WBjdscyTOV05cvq_JqvqQ17C81mpxf7Ncs/edit?usp=sharing"",""สุราษฎร์ธานี!L67"")"),0)</f>
        <v>0</v>
      </c>
      <c r="M67" s="139">
        <f ca="1">IFERROR(__xludf.DUMMYFUNCTION("IMPORTRANGE(""https://docs.google.com/spreadsheets/d/1kKUcYdkIfrgTSj8iHHHB2MD2FAtwyyocFgqGQn6ADyI/edit?usp=sharing"",""กระบี่!M67"")+IMPORTRANGE(""https://docs.google.com/spreadsheets/d/1GwtLaSlNZkLk7iDqcyZz22giiy40b_usZZBXYciEN1U/edit?usp=sharing"",""ชุม"&amp;"พร!M67"")+IMPORTRANGE(""https://docs.google.com/spreadsheets/d/16pAz3pOhQEZBhvFNMa5KGgZS6iKWpsKX0pg6tQmwFpo/edit?usp=sharing"",""ตรัง!M67"")+IMPORTRANGE(""https://docs.google.com/spreadsheets/d/1Dj4jcHCTV9JXKCaMoheSXS52JE63kDKyG7bPXnFogHk/edit?usp=sharing"&amp;""",""นครศรีธรรมราช!M67"")+IMPORTRANGE(""https://docs.google.com/spreadsheets/d/1iodCdmuK2GR3jzUwk8tpccY2JHQQA-87DLOtJP-ooyU/edit?usp=sharing"",""นราธิวาส!M67"")+IMPORTRANGE(""https://docs.google.com/spreadsheets/d/1SDNX3JhDdYRuIOsj0Wh2M-Qa_eaXl0NbWmhAOTbf"&amp;"QAs/edit?usp=sharing"",""ปัตตานี!M67"")+IMPORTRANGE(""https://docs.google.com/spreadsheets/d/16JDLGguT8s5DsGCND1KcwHP_AWR_zDMTqLHPLJUKhaU/edit?usp=sharing"",""พังงา!M67"")+IMPORTRANGE(""https://docs.google.com/spreadsheets/d/17ht0gPKzzT3PObBL1XJkeRmntBXI7"&amp;"wGjpLV7QorqlTk/edit?usp=sharing"",""พัทลุง!M67"")+IMPORTRANGE(""https://docs.google.com/spreadsheets/d/1rd4qoM1q_hsgaolqNGfrim9gbsoLxQsda4-vOz5x_BM/edit?usp=sharing"",""ภูเก็ต!M67"")+IMPORTRANGE(""https://docs.google.com/spreadsheets/d/1woKwKjgoLssDvPcPeV"&amp;"yezB5izizAn4X1JDrys69n6xI/edit?usp=sharing"",""ยะลา!M67"")+IMPORTRANGE(""https://docs.google.com/spreadsheets/d/1qfrKjzMhm2HJfxQ-qVlJlJQ25Hne1d0khsySbZyGtPA/edit?usp=sharing"",""ระนอง!M67"")+IMPORTRANGE(""https://docs.google.com/spreadsheets/d/1IbSCnFOKpZ"&amp;"snFogBHJnL_isstZVaOMnFiIN0fGTPZZw/edit?usp=sharing"",""สงขลา!M67"")+IMPORTRANGE(""https://docs.google.com/spreadsheets/d/1q9nWasZJ-K8bFGvbE9n0qSRuKGA4Toe3Y89cKCiVtCU/edit?usp=sharing"",""สตูล!M67"")+IMPORTRANGE(""https://docs.google.com/spreadsheets/d/18T"&amp;"20gbkS_WBjdscyTOV05cvq_JqvqQ17C81mpxf7Ncs/edit?usp=sharing"",""สุราษฎร์ธานี!M67"")"),0)</f>
        <v>0</v>
      </c>
      <c r="N67" s="139">
        <f ca="1">IFERROR(__xludf.DUMMYFUNCTION("IMPORTRANGE(""https://docs.google.com/spreadsheets/d/1kKUcYdkIfrgTSj8iHHHB2MD2FAtwyyocFgqGQn6ADyI/edit?usp=sharing"",""กระบี่!N67"")+IMPORTRANGE(""https://docs.google.com/spreadsheets/d/1GwtLaSlNZkLk7iDqcyZz22giiy40b_usZZBXYciEN1U/edit?usp=sharing"",""ชุม"&amp;"พร!N67"")+IMPORTRANGE(""https://docs.google.com/spreadsheets/d/16pAz3pOhQEZBhvFNMa5KGgZS6iKWpsKX0pg6tQmwFpo/edit?usp=sharing"",""ตรัง!N67"")+IMPORTRANGE(""https://docs.google.com/spreadsheets/d/1Dj4jcHCTV9JXKCaMoheSXS52JE63kDKyG7bPXnFogHk/edit?usp=sharing"&amp;""",""นครศรีธรรมราช!N67"")+IMPORTRANGE(""https://docs.google.com/spreadsheets/d/1iodCdmuK2GR3jzUwk8tpccY2JHQQA-87DLOtJP-ooyU/edit?usp=sharing"",""นราธิวาส!N67"")+IMPORTRANGE(""https://docs.google.com/spreadsheets/d/1SDNX3JhDdYRuIOsj0Wh2M-Qa_eaXl0NbWmhAOTbf"&amp;"QAs/edit?usp=sharing"",""ปัตตานี!N67"")+IMPORTRANGE(""https://docs.google.com/spreadsheets/d/16JDLGguT8s5DsGCND1KcwHP_AWR_zDMTqLHPLJUKhaU/edit?usp=sharing"",""พังงา!N67"")+IMPORTRANGE(""https://docs.google.com/spreadsheets/d/17ht0gPKzzT3PObBL1XJkeRmntBXI7"&amp;"wGjpLV7QorqlTk/edit?usp=sharing"",""พัทลุง!N67"")+IMPORTRANGE(""https://docs.google.com/spreadsheets/d/1rd4qoM1q_hsgaolqNGfrim9gbsoLxQsda4-vOz5x_BM/edit?usp=sharing"",""ภูเก็ต!N67"")+IMPORTRANGE(""https://docs.google.com/spreadsheets/d/1woKwKjgoLssDvPcPeV"&amp;"yezB5izizAn4X1JDrys69n6xI/edit?usp=sharing"",""ยะลา!N67"")+IMPORTRANGE(""https://docs.google.com/spreadsheets/d/1qfrKjzMhm2HJfxQ-qVlJlJQ25Hne1d0khsySbZyGtPA/edit?usp=sharing"",""ระนอง!N67"")+IMPORTRANGE(""https://docs.google.com/spreadsheets/d/1IbSCnFOKpZ"&amp;"snFogBHJnL_isstZVaOMnFiIN0fGTPZZw/edit?usp=sharing"",""สงขลา!N67"")+IMPORTRANGE(""https://docs.google.com/spreadsheets/d/1q9nWasZJ-K8bFGvbE9n0qSRuKGA4Toe3Y89cKCiVtCU/edit?usp=sharing"",""สตูล!N67"")+IMPORTRANGE(""https://docs.google.com/spreadsheets/d/18T"&amp;"20gbkS_WBjdscyTOV05cvq_JqvqQ17C81mpxf7Ncs/edit?usp=sharing"",""สุราษฎร์ธานี!N67"")"),0)</f>
        <v>0</v>
      </c>
      <c r="O67" s="139">
        <f t="shared" ca="1" si="24"/>
        <v>0</v>
      </c>
      <c r="P67" s="139">
        <f t="shared" ca="1" si="25"/>
        <v>0</v>
      </c>
    </row>
    <row r="68" spans="1:16" ht="19.5" x14ac:dyDescent="0.3">
      <c r="A68" s="140" t="s">
        <v>29</v>
      </c>
      <c r="B68" s="141"/>
      <c r="C68" s="141"/>
      <c r="D68" s="141"/>
      <c r="E68" s="142"/>
      <c r="F68" s="142"/>
      <c r="G68" s="142"/>
      <c r="H68" s="142"/>
      <c r="I68" s="143"/>
      <c r="J68" s="143"/>
      <c r="K68" s="144"/>
      <c r="L68" s="144"/>
      <c r="M68" s="144"/>
      <c r="N68" s="144"/>
      <c r="O68" s="144"/>
      <c r="P68" s="145"/>
    </row>
    <row r="69" spans="1:16" ht="19.5" x14ac:dyDescent="0.3">
      <c r="A69" s="146" t="s">
        <v>30</v>
      </c>
      <c r="B69" s="147"/>
      <c r="C69" s="148"/>
      <c r="D69" s="147"/>
      <c r="E69" s="147"/>
      <c r="F69" s="147"/>
      <c r="G69" s="149"/>
      <c r="H69" s="149"/>
      <c r="I69" s="150"/>
      <c r="J69" s="150"/>
      <c r="K69" s="151"/>
      <c r="L69" s="151"/>
      <c r="M69" s="151"/>
      <c r="N69" s="151"/>
      <c r="O69" s="151"/>
      <c r="P69" s="151"/>
    </row>
    <row r="70" spans="1:16" ht="19.5" x14ac:dyDescent="0.3">
      <c r="A70" s="152"/>
      <c r="B70" s="153" t="s">
        <v>31</v>
      </c>
      <c r="C70" s="41"/>
      <c r="D70" s="154"/>
      <c r="E70" s="41"/>
      <c r="F70" s="41"/>
      <c r="G70" s="44"/>
      <c r="H70" s="155" t="s">
        <v>32</v>
      </c>
      <c r="I70" s="156">
        <f t="shared" ref="I70:J70" ca="1" si="30">I82</f>
        <v>1</v>
      </c>
      <c r="J70" s="156">
        <f t="shared" ca="1" si="30"/>
        <v>0</v>
      </c>
      <c r="K70" s="48">
        <f t="shared" ref="K70:K71" ca="1" si="31">IF(I70&gt;0,J70*100/I70,0)</f>
        <v>0</v>
      </c>
      <c r="L70" s="47"/>
      <c r="M70" s="47"/>
      <c r="N70" s="47"/>
      <c r="O70" s="47"/>
      <c r="P70" s="47"/>
    </row>
    <row r="71" spans="1:16" ht="19.5" x14ac:dyDescent="0.3">
      <c r="A71" s="152"/>
      <c r="B71" s="41"/>
      <c r="C71" s="41"/>
      <c r="D71" s="154"/>
      <c r="E71" s="41"/>
      <c r="F71" s="41"/>
      <c r="G71" s="44"/>
      <c r="H71" s="155" t="s">
        <v>33</v>
      </c>
      <c r="I71" s="156">
        <f t="shared" ref="I71:J71" ca="1" si="32">I83</f>
        <v>30</v>
      </c>
      <c r="J71" s="156">
        <f t="shared" ca="1" si="32"/>
        <v>0</v>
      </c>
      <c r="K71" s="48">
        <f t="shared" ca="1" si="31"/>
        <v>0</v>
      </c>
      <c r="L71" s="47"/>
      <c r="M71" s="47"/>
      <c r="N71" s="47"/>
      <c r="O71" s="47"/>
      <c r="P71" s="47"/>
    </row>
    <row r="72" spans="1:16" ht="19.5" x14ac:dyDescent="0.3">
      <c r="A72" s="157"/>
      <c r="B72" s="53"/>
      <c r="C72" s="158" t="s">
        <v>16</v>
      </c>
      <c r="D72" s="159" t="s">
        <v>17</v>
      </c>
      <c r="E72" s="53"/>
      <c r="F72" s="53"/>
      <c r="G72" s="55"/>
      <c r="H72" s="160" t="s">
        <v>12</v>
      </c>
      <c r="I72" s="57"/>
      <c r="J72" s="57"/>
      <c r="K72" s="58"/>
      <c r="L72" s="161">
        <f t="shared" ref="L72:N72" ca="1" si="33">L73+L74</f>
        <v>544900</v>
      </c>
      <c r="M72" s="161">
        <f t="shared" ca="1" si="33"/>
        <v>457500</v>
      </c>
      <c r="N72" s="161">
        <f t="shared" ca="1" si="33"/>
        <v>137584.78</v>
      </c>
      <c r="O72" s="161">
        <f t="shared" ref="O72:O80" ca="1" si="34">IF(L72&gt;0,N72*100/L72,0)</f>
        <v>25.249546705817583</v>
      </c>
      <c r="P72" s="161">
        <f t="shared" ref="P72:P80" ca="1" si="35">IF(M72&gt;0,N72*100/M72,0)</f>
        <v>30.073175956284153</v>
      </c>
    </row>
    <row r="73" spans="1:16" ht="18.75" x14ac:dyDescent="0.25">
      <c r="A73" s="157"/>
      <c r="B73" s="53"/>
      <c r="C73" s="53"/>
      <c r="D73" s="53"/>
      <c r="E73" s="60" t="s">
        <v>18</v>
      </c>
      <c r="F73" s="53"/>
      <c r="G73" s="55"/>
      <c r="H73" s="162" t="s">
        <v>12</v>
      </c>
      <c r="I73" s="57"/>
      <c r="J73" s="57"/>
      <c r="K73" s="58"/>
      <c r="L73" s="59">
        <f t="shared" ref="L73:N73" ca="1" si="36">L76+L79</f>
        <v>0</v>
      </c>
      <c r="M73" s="59">
        <f t="shared" ca="1" si="36"/>
        <v>0</v>
      </c>
      <c r="N73" s="59">
        <f t="shared" ca="1" si="36"/>
        <v>0</v>
      </c>
      <c r="O73" s="59">
        <f t="shared" ca="1" si="34"/>
        <v>0</v>
      </c>
      <c r="P73" s="59">
        <f t="shared" ca="1" si="35"/>
        <v>0</v>
      </c>
    </row>
    <row r="74" spans="1:16" ht="18.75" x14ac:dyDescent="0.25">
      <c r="A74" s="157"/>
      <c r="B74" s="53"/>
      <c r="C74" s="53"/>
      <c r="D74" s="53"/>
      <c r="E74" s="60" t="s">
        <v>19</v>
      </c>
      <c r="F74" s="53"/>
      <c r="G74" s="55"/>
      <c r="H74" s="162" t="s">
        <v>12</v>
      </c>
      <c r="I74" s="57"/>
      <c r="J74" s="57"/>
      <c r="K74" s="58"/>
      <c r="L74" s="59">
        <f t="shared" ref="L74:N74" ca="1" si="37">L77+L80</f>
        <v>544900</v>
      </c>
      <c r="M74" s="59">
        <f t="shared" ca="1" si="37"/>
        <v>457500</v>
      </c>
      <c r="N74" s="59">
        <f t="shared" ca="1" si="37"/>
        <v>137584.78</v>
      </c>
      <c r="O74" s="59">
        <f t="shared" ca="1" si="34"/>
        <v>25.249546705817583</v>
      </c>
      <c r="P74" s="59">
        <f t="shared" ca="1" si="35"/>
        <v>30.073175956284153</v>
      </c>
    </row>
    <row r="75" spans="1:16" ht="18.75" x14ac:dyDescent="0.25">
      <c r="A75" s="157"/>
      <c r="B75" s="53"/>
      <c r="C75" s="53"/>
      <c r="D75" s="54" t="s">
        <v>20</v>
      </c>
      <c r="E75" s="53"/>
      <c r="F75" s="53"/>
      <c r="G75" s="55"/>
      <c r="H75" s="163" t="s">
        <v>12</v>
      </c>
      <c r="I75" s="164"/>
      <c r="J75" s="164"/>
      <c r="K75" s="165"/>
      <c r="L75" s="59">
        <f t="shared" ref="L75:N75" ca="1" si="38">L76+L77</f>
        <v>544900</v>
      </c>
      <c r="M75" s="59">
        <f t="shared" ca="1" si="38"/>
        <v>457500</v>
      </c>
      <c r="N75" s="59">
        <f t="shared" ca="1" si="38"/>
        <v>137584.78</v>
      </c>
      <c r="O75" s="59">
        <f t="shared" ca="1" si="34"/>
        <v>25.249546705817583</v>
      </c>
      <c r="P75" s="59">
        <f t="shared" ca="1" si="35"/>
        <v>30.073175956284153</v>
      </c>
    </row>
    <row r="76" spans="1:16" ht="18.75" x14ac:dyDescent="0.25">
      <c r="A76" s="157"/>
      <c r="B76" s="53"/>
      <c r="C76" s="53"/>
      <c r="D76" s="53"/>
      <c r="E76" s="60" t="s">
        <v>34</v>
      </c>
      <c r="F76" s="53"/>
      <c r="G76" s="55"/>
      <c r="H76" s="163" t="s">
        <v>12</v>
      </c>
      <c r="I76" s="164"/>
      <c r="J76" s="164"/>
      <c r="K76" s="165"/>
      <c r="L76" s="59">
        <f ca="1">IFERROR(__xludf.DUMMYFUNCTION("IMPORTRANGE(""https://docs.google.com/spreadsheets/d/1kKUcYdkIfrgTSj8iHHHB2MD2FAtwyyocFgqGQn6ADyI/edit?usp=sharing"",""กระบี่!L76"")+IMPORTRANGE(""https://docs.google.com/spreadsheets/d/1GwtLaSlNZkLk7iDqcyZz22giiy40b_usZZBXYciEN1U/edit?usp=sharing"",""ชุม"&amp;"พร!L76"")+IMPORTRANGE(""https://docs.google.com/spreadsheets/d/16pAz3pOhQEZBhvFNMa5KGgZS6iKWpsKX0pg6tQmwFpo/edit?usp=sharing"",""ตรัง!L76"")+IMPORTRANGE(""https://docs.google.com/spreadsheets/d/1Dj4jcHCTV9JXKCaMoheSXS52JE63kDKyG7bPXnFogHk/edit?usp=sharing"&amp;""",""นครศรีธรรมราช!L76"")+IMPORTRANGE(""https://docs.google.com/spreadsheets/d/1iodCdmuK2GR3jzUwk8tpccY2JHQQA-87DLOtJP-ooyU/edit?usp=sharing"",""นราธิวาส!L76"")+IMPORTRANGE(""https://docs.google.com/spreadsheets/d/1SDNX3JhDdYRuIOsj0Wh2M-Qa_eaXl0NbWmhAOTbf"&amp;"QAs/edit?usp=sharing"",""ปัตตานี!L76"")+IMPORTRANGE(""https://docs.google.com/spreadsheets/d/16JDLGguT8s5DsGCND1KcwHP_AWR_zDMTqLHPLJUKhaU/edit?usp=sharing"",""พังงา!L76"")+IMPORTRANGE(""https://docs.google.com/spreadsheets/d/17ht0gPKzzT3PObBL1XJkeRmntBXI7"&amp;"wGjpLV7QorqlTk/edit?usp=sharing"",""พัทลุง!L76"")+IMPORTRANGE(""https://docs.google.com/spreadsheets/d/1rd4qoM1q_hsgaolqNGfrim9gbsoLxQsda4-vOz5x_BM/edit?usp=sharing"",""ภูเก็ต!L76"")+IMPORTRANGE(""https://docs.google.com/spreadsheets/d/1woKwKjgoLssDvPcPeV"&amp;"yezB5izizAn4X1JDrys69n6xI/edit?usp=sharing"",""ยะลา!L76"")+IMPORTRANGE(""https://docs.google.com/spreadsheets/d/1qfrKjzMhm2HJfxQ-qVlJlJQ25Hne1d0khsySbZyGtPA/edit?usp=sharing"",""ระนอง!L76"")+IMPORTRANGE(""https://docs.google.com/spreadsheets/d/1IbSCnFOKpZ"&amp;"snFogBHJnL_isstZVaOMnFiIN0fGTPZZw/edit?usp=sharing"",""สงขลา!L76"")+IMPORTRANGE(""https://docs.google.com/spreadsheets/d/1q9nWasZJ-K8bFGvbE9n0qSRuKGA4Toe3Y89cKCiVtCU/edit?usp=sharing"",""สตูล!L76"")+IMPORTRANGE(""https://docs.google.com/spreadsheets/d/18T"&amp;"20gbkS_WBjdscyTOV05cvq_JqvqQ17C81mpxf7Ncs/edit?usp=sharing"",""สุราษฎร์ธานี!L76"")"),0)</f>
        <v>0</v>
      </c>
      <c r="M76" s="59">
        <f ca="1">IFERROR(__xludf.DUMMYFUNCTION("IMPORTRANGE(""https://docs.google.com/spreadsheets/d/1kKUcYdkIfrgTSj8iHHHB2MD2FAtwyyocFgqGQn6ADyI/edit?usp=sharing"",""กระบี่!M76"")+IMPORTRANGE(""https://docs.google.com/spreadsheets/d/1GwtLaSlNZkLk7iDqcyZz22giiy40b_usZZBXYciEN1U/edit?usp=sharing"",""ชุม"&amp;"พร!M76"")+IMPORTRANGE(""https://docs.google.com/spreadsheets/d/16pAz3pOhQEZBhvFNMa5KGgZS6iKWpsKX0pg6tQmwFpo/edit?usp=sharing"",""ตรัง!M76"")+IMPORTRANGE(""https://docs.google.com/spreadsheets/d/1Dj4jcHCTV9JXKCaMoheSXS52JE63kDKyG7bPXnFogHk/edit?usp=sharing"&amp;""",""นครศรีธรรมราช!M76"")+IMPORTRANGE(""https://docs.google.com/spreadsheets/d/1iodCdmuK2GR3jzUwk8tpccY2JHQQA-87DLOtJP-ooyU/edit?usp=sharing"",""นราธิวาส!M76"")+IMPORTRANGE(""https://docs.google.com/spreadsheets/d/1SDNX3JhDdYRuIOsj0Wh2M-Qa_eaXl0NbWmhAOTbf"&amp;"QAs/edit?usp=sharing"",""ปัตตานี!M76"")+IMPORTRANGE(""https://docs.google.com/spreadsheets/d/16JDLGguT8s5DsGCND1KcwHP_AWR_zDMTqLHPLJUKhaU/edit?usp=sharing"",""พังงา!M76"")+IMPORTRANGE(""https://docs.google.com/spreadsheets/d/17ht0gPKzzT3PObBL1XJkeRmntBXI7"&amp;"wGjpLV7QorqlTk/edit?usp=sharing"",""พัทลุง!M76"")+IMPORTRANGE(""https://docs.google.com/spreadsheets/d/1rd4qoM1q_hsgaolqNGfrim9gbsoLxQsda4-vOz5x_BM/edit?usp=sharing"",""ภูเก็ต!M76"")+IMPORTRANGE(""https://docs.google.com/spreadsheets/d/1woKwKjgoLssDvPcPeV"&amp;"yezB5izizAn4X1JDrys69n6xI/edit?usp=sharing"",""ยะลา!M76"")+IMPORTRANGE(""https://docs.google.com/spreadsheets/d/1qfrKjzMhm2HJfxQ-qVlJlJQ25Hne1d0khsySbZyGtPA/edit?usp=sharing"",""ระนอง!M76"")+IMPORTRANGE(""https://docs.google.com/spreadsheets/d/1IbSCnFOKpZ"&amp;"snFogBHJnL_isstZVaOMnFiIN0fGTPZZw/edit?usp=sharing"",""สงขลา!M76"")+IMPORTRANGE(""https://docs.google.com/spreadsheets/d/1q9nWasZJ-K8bFGvbE9n0qSRuKGA4Toe3Y89cKCiVtCU/edit?usp=sharing"",""สตูล!M76"")+IMPORTRANGE(""https://docs.google.com/spreadsheets/d/18T"&amp;"20gbkS_WBjdscyTOV05cvq_JqvqQ17C81mpxf7Ncs/edit?usp=sharing"",""สุราษฎร์ธานี!M76"")"),0)</f>
        <v>0</v>
      </c>
      <c r="N76" s="59">
        <f ca="1">IFERROR(__xludf.DUMMYFUNCTION("IMPORTRANGE(""https://docs.google.com/spreadsheets/d/1kKUcYdkIfrgTSj8iHHHB2MD2FAtwyyocFgqGQn6ADyI/edit?usp=sharing"",""กระบี่!N76"")+IMPORTRANGE(""https://docs.google.com/spreadsheets/d/1GwtLaSlNZkLk7iDqcyZz22giiy40b_usZZBXYciEN1U/edit?usp=sharing"",""ชุม"&amp;"พร!N76"")+IMPORTRANGE(""https://docs.google.com/spreadsheets/d/16pAz3pOhQEZBhvFNMa5KGgZS6iKWpsKX0pg6tQmwFpo/edit?usp=sharing"",""ตรัง!N76"")+IMPORTRANGE(""https://docs.google.com/spreadsheets/d/1Dj4jcHCTV9JXKCaMoheSXS52JE63kDKyG7bPXnFogHk/edit?usp=sharing"&amp;""",""นครศรีธรรมราช!N76"")+IMPORTRANGE(""https://docs.google.com/spreadsheets/d/1iodCdmuK2GR3jzUwk8tpccY2JHQQA-87DLOtJP-ooyU/edit?usp=sharing"",""นราธิวาส!N76"")+IMPORTRANGE(""https://docs.google.com/spreadsheets/d/1SDNX3JhDdYRuIOsj0Wh2M-Qa_eaXl0NbWmhAOTbf"&amp;"QAs/edit?usp=sharing"",""ปัตตานี!N76"")+IMPORTRANGE(""https://docs.google.com/spreadsheets/d/16JDLGguT8s5DsGCND1KcwHP_AWR_zDMTqLHPLJUKhaU/edit?usp=sharing"",""พังงา!N76"")+IMPORTRANGE(""https://docs.google.com/spreadsheets/d/17ht0gPKzzT3PObBL1XJkeRmntBXI7"&amp;"wGjpLV7QorqlTk/edit?usp=sharing"",""พัทลุง!N76"")+IMPORTRANGE(""https://docs.google.com/spreadsheets/d/1rd4qoM1q_hsgaolqNGfrim9gbsoLxQsda4-vOz5x_BM/edit?usp=sharing"",""ภูเก็ต!N76"")+IMPORTRANGE(""https://docs.google.com/spreadsheets/d/1woKwKjgoLssDvPcPeV"&amp;"yezB5izizAn4X1JDrys69n6xI/edit?usp=sharing"",""ยะลา!N76"")+IMPORTRANGE(""https://docs.google.com/spreadsheets/d/1qfrKjzMhm2HJfxQ-qVlJlJQ25Hne1d0khsySbZyGtPA/edit?usp=sharing"",""ระนอง!N76"")+IMPORTRANGE(""https://docs.google.com/spreadsheets/d/1IbSCnFOKpZ"&amp;"snFogBHJnL_isstZVaOMnFiIN0fGTPZZw/edit?usp=sharing"",""สงขลา!N76"")+IMPORTRANGE(""https://docs.google.com/spreadsheets/d/1q9nWasZJ-K8bFGvbE9n0qSRuKGA4Toe3Y89cKCiVtCU/edit?usp=sharing"",""สตูล!N76"")+IMPORTRANGE(""https://docs.google.com/spreadsheets/d/18T"&amp;"20gbkS_WBjdscyTOV05cvq_JqvqQ17C81mpxf7Ncs/edit?usp=sharing"",""สุราษฎร์ธานี!N76"")"),0)</f>
        <v>0</v>
      </c>
      <c r="O76" s="59">
        <f t="shared" ca="1" si="34"/>
        <v>0</v>
      </c>
      <c r="P76" s="59">
        <f t="shared" ca="1" si="35"/>
        <v>0</v>
      </c>
    </row>
    <row r="77" spans="1:16" ht="18.75" x14ac:dyDescent="0.25">
      <c r="A77" s="157"/>
      <c r="B77" s="53"/>
      <c r="C77" s="53"/>
      <c r="D77" s="53"/>
      <c r="E77" s="60" t="s">
        <v>35</v>
      </c>
      <c r="F77" s="53"/>
      <c r="G77" s="55"/>
      <c r="H77" s="163" t="s">
        <v>12</v>
      </c>
      <c r="I77" s="164"/>
      <c r="J77" s="164"/>
      <c r="K77" s="165"/>
      <c r="L77" s="59">
        <f ca="1">IFERROR(__xludf.DUMMYFUNCTION("IMPORTRANGE(""https://docs.google.com/spreadsheets/d/1kKUcYdkIfrgTSj8iHHHB2MD2FAtwyyocFgqGQn6ADyI/edit?usp=sharing"",""กระบี่!L77"")+IMPORTRANGE(""https://docs.google.com/spreadsheets/d/1GwtLaSlNZkLk7iDqcyZz22giiy40b_usZZBXYciEN1U/edit?usp=sharing"",""ชุม"&amp;"พร!L77"")+IMPORTRANGE(""https://docs.google.com/spreadsheets/d/16pAz3pOhQEZBhvFNMa5KGgZS6iKWpsKX0pg6tQmwFpo/edit?usp=sharing"",""ตรัง!L77"")+IMPORTRANGE(""https://docs.google.com/spreadsheets/d/1Dj4jcHCTV9JXKCaMoheSXS52JE63kDKyG7bPXnFogHk/edit?usp=sharing"&amp;""",""นครศรีธรรมราช!L77"")+IMPORTRANGE(""https://docs.google.com/spreadsheets/d/1iodCdmuK2GR3jzUwk8tpccY2JHQQA-87DLOtJP-ooyU/edit?usp=sharing"",""นราธิวาส!L77"")+IMPORTRANGE(""https://docs.google.com/spreadsheets/d/1SDNX3JhDdYRuIOsj0Wh2M-Qa_eaXl0NbWmhAOTbf"&amp;"QAs/edit?usp=sharing"",""ปัตตานี!L77"")+IMPORTRANGE(""https://docs.google.com/spreadsheets/d/16JDLGguT8s5DsGCND1KcwHP_AWR_zDMTqLHPLJUKhaU/edit?usp=sharing"",""พังงา!L77"")+IMPORTRANGE(""https://docs.google.com/spreadsheets/d/17ht0gPKzzT3PObBL1XJkeRmntBXI7"&amp;"wGjpLV7QorqlTk/edit?usp=sharing"",""พัทลุง!L77"")+IMPORTRANGE(""https://docs.google.com/spreadsheets/d/1rd4qoM1q_hsgaolqNGfrim9gbsoLxQsda4-vOz5x_BM/edit?usp=sharing"",""ภูเก็ต!L77"")+IMPORTRANGE(""https://docs.google.com/spreadsheets/d/1woKwKjgoLssDvPcPeV"&amp;"yezB5izizAn4X1JDrys69n6xI/edit?usp=sharing"",""ยะลา!L77"")+IMPORTRANGE(""https://docs.google.com/spreadsheets/d/1qfrKjzMhm2HJfxQ-qVlJlJQ25Hne1d0khsySbZyGtPA/edit?usp=sharing"",""ระนอง!L77"")+IMPORTRANGE(""https://docs.google.com/spreadsheets/d/1IbSCnFOKpZ"&amp;"snFogBHJnL_isstZVaOMnFiIN0fGTPZZw/edit?usp=sharing"",""สงขลา!L77"")+IMPORTRANGE(""https://docs.google.com/spreadsheets/d/1q9nWasZJ-K8bFGvbE9n0qSRuKGA4Toe3Y89cKCiVtCU/edit?usp=sharing"",""สตูล!L77"")+IMPORTRANGE(""https://docs.google.com/spreadsheets/d/18T"&amp;"20gbkS_WBjdscyTOV05cvq_JqvqQ17C81mpxf7Ncs/edit?usp=sharing"",""สุราษฎร์ธานี!L77"")"),544900)</f>
        <v>544900</v>
      </c>
      <c r="M77" s="59">
        <f ca="1">IFERROR(__xludf.DUMMYFUNCTION("IMPORTRANGE(""https://docs.google.com/spreadsheets/d/1kKUcYdkIfrgTSj8iHHHB2MD2FAtwyyocFgqGQn6ADyI/edit?usp=sharing"",""กระบี่!M77"")+IMPORTRANGE(""https://docs.google.com/spreadsheets/d/1GwtLaSlNZkLk7iDqcyZz22giiy40b_usZZBXYciEN1U/edit?usp=sharing"",""ชุม"&amp;"พร!M77"")+IMPORTRANGE(""https://docs.google.com/spreadsheets/d/16pAz3pOhQEZBhvFNMa5KGgZS6iKWpsKX0pg6tQmwFpo/edit?usp=sharing"",""ตรัง!M77"")+IMPORTRANGE(""https://docs.google.com/spreadsheets/d/1Dj4jcHCTV9JXKCaMoheSXS52JE63kDKyG7bPXnFogHk/edit?usp=sharing"&amp;""",""นครศรีธรรมราช!M77"")+IMPORTRANGE(""https://docs.google.com/spreadsheets/d/1iodCdmuK2GR3jzUwk8tpccY2JHQQA-87DLOtJP-ooyU/edit?usp=sharing"",""นราธิวาส!M77"")+IMPORTRANGE(""https://docs.google.com/spreadsheets/d/1SDNX3JhDdYRuIOsj0Wh2M-Qa_eaXl0NbWmhAOTbf"&amp;"QAs/edit?usp=sharing"",""ปัตตานี!M77"")+IMPORTRANGE(""https://docs.google.com/spreadsheets/d/16JDLGguT8s5DsGCND1KcwHP_AWR_zDMTqLHPLJUKhaU/edit?usp=sharing"",""พังงา!M77"")+IMPORTRANGE(""https://docs.google.com/spreadsheets/d/17ht0gPKzzT3PObBL1XJkeRmntBXI7"&amp;"wGjpLV7QorqlTk/edit?usp=sharing"",""พัทลุง!M77"")+IMPORTRANGE(""https://docs.google.com/spreadsheets/d/1rd4qoM1q_hsgaolqNGfrim9gbsoLxQsda4-vOz5x_BM/edit?usp=sharing"",""ภูเก็ต!M77"")+IMPORTRANGE(""https://docs.google.com/spreadsheets/d/1woKwKjgoLssDvPcPeV"&amp;"yezB5izizAn4X1JDrys69n6xI/edit?usp=sharing"",""ยะลา!M77"")+IMPORTRANGE(""https://docs.google.com/spreadsheets/d/1qfrKjzMhm2HJfxQ-qVlJlJQ25Hne1d0khsySbZyGtPA/edit?usp=sharing"",""ระนอง!M77"")+IMPORTRANGE(""https://docs.google.com/spreadsheets/d/1IbSCnFOKpZ"&amp;"snFogBHJnL_isstZVaOMnFiIN0fGTPZZw/edit?usp=sharing"",""สงขลา!M77"")+IMPORTRANGE(""https://docs.google.com/spreadsheets/d/1q9nWasZJ-K8bFGvbE9n0qSRuKGA4Toe3Y89cKCiVtCU/edit?usp=sharing"",""สตูล!M77"")+IMPORTRANGE(""https://docs.google.com/spreadsheets/d/18T"&amp;"20gbkS_WBjdscyTOV05cvq_JqvqQ17C81mpxf7Ncs/edit?usp=sharing"",""สุราษฎร์ธานี!M77"")"),457500)</f>
        <v>457500</v>
      </c>
      <c r="N77" s="59">
        <f ca="1">IFERROR(__xludf.DUMMYFUNCTION("IMPORTRANGE(""https://docs.google.com/spreadsheets/d/1kKUcYdkIfrgTSj8iHHHB2MD2FAtwyyocFgqGQn6ADyI/edit?usp=sharing"",""กระบี่!N77"")+IMPORTRANGE(""https://docs.google.com/spreadsheets/d/1GwtLaSlNZkLk7iDqcyZz22giiy40b_usZZBXYciEN1U/edit?usp=sharing"",""ชุม"&amp;"พร!N77"")+IMPORTRANGE(""https://docs.google.com/spreadsheets/d/16pAz3pOhQEZBhvFNMa5KGgZS6iKWpsKX0pg6tQmwFpo/edit?usp=sharing"",""ตรัง!N77"")+IMPORTRANGE(""https://docs.google.com/spreadsheets/d/1Dj4jcHCTV9JXKCaMoheSXS52JE63kDKyG7bPXnFogHk/edit?usp=sharing"&amp;""",""นครศรีธรรมราช!N77"")+IMPORTRANGE(""https://docs.google.com/spreadsheets/d/1iodCdmuK2GR3jzUwk8tpccY2JHQQA-87DLOtJP-ooyU/edit?usp=sharing"",""นราธิวาส!N77"")+IMPORTRANGE(""https://docs.google.com/spreadsheets/d/1SDNX3JhDdYRuIOsj0Wh2M-Qa_eaXl0NbWmhAOTbf"&amp;"QAs/edit?usp=sharing"",""ปัตตานี!N77"")+IMPORTRANGE(""https://docs.google.com/spreadsheets/d/16JDLGguT8s5DsGCND1KcwHP_AWR_zDMTqLHPLJUKhaU/edit?usp=sharing"",""พังงา!N77"")+IMPORTRANGE(""https://docs.google.com/spreadsheets/d/17ht0gPKzzT3PObBL1XJkeRmntBXI7"&amp;"wGjpLV7QorqlTk/edit?usp=sharing"",""พัทลุง!N77"")+IMPORTRANGE(""https://docs.google.com/spreadsheets/d/1rd4qoM1q_hsgaolqNGfrim9gbsoLxQsda4-vOz5x_BM/edit?usp=sharing"",""ภูเก็ต!N77"")+IMPORTRANGE(""https://docs.google.com/spreadsheets/d/1woKwKjgoLssDvPcPeV"&amp;"yezB5izizAn4X1JDrys69n6xI/edit?usp=sharing"",""ยะลา!N77"")+IMPORTRANGE(""https://docs.google.com/spreadsheets/d/1qfrKjzMhm2HJfxQ-qVlJlJQ25Hne1d0khsySbZyGtPA/edit?usp=sharing"",""ระนอง!N77"")+IMPORTRANGE(""https://docs.google.com/spreadsheets/d/1IbSCnFOKpZ"&amp;"snFogBHJnL_isstZVaOMnFiIN0fGTPZZw/edit?usp=sharing"",""สงขลา!N77"")+IMPORTRANGE(""https://docs.google.com/spreadsheets/d/1q9nWasZJ-K8bFGvbE9n0qSRuKGA4Toe3Y89cKCiVtCU/edit?usp=sharing"",""สตูล!N77"")+IMPORTRANGE(""https://docs.google.com/spreadsheets/d/18T"&amp;"20gbkS_WBjdscyTOV05cvq_JqvqQ17C81mpxf7Ncs/edit?usp=sharing"",""สุราษฎร์ธานี!N77"")"),137584.78)</f>
        <v>137584.78</v>
      </c>
      <c r="O77" s="59">
        <f t="shared" ca="1" si="34"/>
        <v>25.249546705817583</v>
      </c>
      <c r="P77" s="59">
        <f t="shared" ca="1" si="35"/>
        <v>30.073175956284153</v>
      </c>
    </row>
    <row r="78" spans="1:16" ht="18.75" x14ac:dyDescent="0.25">
      <c r="A78" s="157"/>
      <c r="B78" s="53"/>
      <c r="C78" s="53"/>
      <c r="D78" s="54" t="s">
        <v>21</v>
      </c>
      <c r="E78" s="53"/>
      <c r="F78" s="53"/>
      <c r="G78" s="55"/>
      <c r="H78" s="166" t="s">
        <v>12</v>
      </c>
      <c r="I78" s="164"/>
      <c r="J78" s="164"/>
      <c r="K78" s="165"/>
      <c r="L78" s="59">
        <f t="shared" ref="L78:N78" ca="1" si="39">L79+L80</f>
        <v>0</v>
      </c>
      <c r="M78" s="59">
        <f t="shared" ca="1" si="39"/>
        <v>0</v>
      </c>
      <c r="N78" s="59">
        <f t="shared" ca="1" si="39"/>
        <v>0</v>
      </c>
      <c r="O78" s="59">
        <f t="shared" ca="1" si="34"/>
        <v>0</v>
      </c>
      <c r="P78" s="59">
        <f t="shared" ca="1" si="35"/>
        <v>0</v>
      </c>
    </row>
    <row r="79" spans="1:16" ht="18.75" x14ac:dyDescent="0.25">
      <c r="A79" s="157"/>
      <c r="B79" s="53"/>
      <c r="C79" s="53"/>
      <c r="D79" s="53"/>
      <c r="E79" s="60" t="s">
        <v>18</v>
      </c>
      <c r="F79" s="53"/>
      <c r="G79" s="55"/>
      <c r="H79" s="163" t="s">
        <v>12</v>
      </c>
      <c r="I79" s="164"/>
      <c r="J79" s="164"/>
      <c r="K79" s="165"/>
      <c r="L79" s="59">
        <f ca="1">IFERROR(__xludf.DUMMYFUNCTION("IMPORTRANGE(""https://docs.google.com/spreadsheets/d/1kKUcYdkIfrgTSj8iHHHB2MD2FAtwyyocFgqGQn6ADyI/edit?usp=sharing"",""กระบี่!L79"")+IMPORTRANGE(""https://docs.google.com/spreadsheets/d/1GwtLaSlNZkLk7iDqcyZz22giiy40b_usZZBXYciEN1U/edit?usp=sharing"",""ชุม"&amp;"พร!L79"")+IMPORTRANGE(""https://docs.google.com/spreadsheets/d/16pAz3pOhQEZBhvFNMa5KGgZS6iKWpsKX0pg6tQmwFpo/edit?usp=sharing"",""ตรัง!L79"")+IMPORTRANGE(""https://docs.google.com/spreadsheets/d/1Dj4jcHCTV9JXKCaMoheSXS52JE63kDKyG7bPXnFogHk/edit?usp=sharing"&amp;""",""นครศรีธรรมราช!L79"")+IMPORTRANGE(""https://docs.google.com/spreadsheets/d/1iodCdmuK2GR3jzUwk8tpccY2JHQQA-87DLOtJP-ooyU/edit?usp=sharing"",""นราธิวาส!L79"")+IMPORTRANGE(""https://docs.google.com/spreadsheets/d/1SDNX3JhDdYRuIOsj0Wh2M-Qa_eaXl0NbWmhAOTbf"&amp;"QAs/edit?usp=sharing"",""ปัตตานี!L79"")+IMPORTRANGE(""https://docs.google.com/spreadsheets/d/16JDLGguT8s5DsGCND1KcwHP_AWR_zDMTqLHPLJUKhaU/edit?usp=sharing"",""พังงา!L79"")+IMPORTRANGE(""https://docs.google.com/spreadsheets/d/17ht0gPKzzT3PObBL1XJkeRmntBXI7"&amp;"wGjpLV7QorqlTk/edit?usp=sharing"",""พัทลุง!L79"")+IMPORTRANGE(""https://docs.google.com/spreadsheets/d/1rd4qoM1q_hsgaolqNGfrim9gbsoLxQsda4-vOz5x_BM/edit?usp=sharing"",""ภูเก็ต!L79"")+IMPORTRANGE(""https://docs.google.com/spreadsheets/d/1woKwKjgoLssDvPcPeV"&amp;"yezB5izizAn4X1JDrys69n6xI/edit?usp=sharing"",""ยะลา!L79"")+IMPORTRANGE(""https://docs.google.com/spreadsheets/d/1qfrKjzMhm2HJfxQ-qVlJlJQ25Hne1d0khsySbZyGtPA/edit?usp=sharing"",""ระนอง!L79"")+IMPORTRANGE(""https://docs.google.com/spreadsheets/d/1IbSCnFOKpZ"&amp;"snFogBHJnL_isstZVaOMnFiIN0fGTPZZw/edit?usp=sharing"",""สงขลา!L79"")+IMPORTRANGE(""https://docs.google.com/spreadsheets/d/1q9nWasZJ-K8bFGvbE9n0qSRuKGA4Toe3Y89cKCiVtCU/edit?usp=sharing"",""สตูล!L79"")+IMPORTRANGE(""https://docs.google.com/spreadsheets/d/18T"&amp;"20gbkS_WBjdscyTOV05cvq_JqvqQ17C81mpxf7Ncs/edit?usp=sharing"",""สุราษฎร์ธานี!L79"")"),0)</f>
        <v>0</v>
      </c>
      <c r="M79" s="59">
        <f ca="1">IFERROR(__xludf.DUMMYFUNCTION("IMPORTRANGE(""https://docs.google.com/spreadsheets/d/1kKUcYdkIfrgTSj8iHHHB2MD2FAtwyyocFgqGQn6ADyI/edit?usp=sharing"",""กระบี่!M79"")+IMPORTRANGE(""https://docs.google.com/spreadsheets/d/1GwtLaSlNZkLk7iDqcyZz22giiy40b_usZZBXYciEN1U/edit?usp=sharing"",""ชุม"&amp;"พร!M79"")+IMPORTRANGE(""https://docs.google.com/spreadsheets/d/16pAz3pOhQEZBhvFNMa5KGgZS6iKWpsKX0pg6tQmwFpo/edit?usp=sharing"",""ตรัง!M79"")+IMPORTRANGE(""https://docs.google.com/spreadsheets/d/1Dj4jcHCTV9JXKCaMoheSXS52JE63kDKyG7bPXnFogHk/edit?usp=sharing"&amp;""",""นครศรีธรรมราช!M79"")+IMPORTRANGE(""https://docs.google.com/spreadsheets/d/1iodCdmuK2GR3jzUwk8tpccY2JHQQA-87DLOtJP-ooyU/edit?usp=sharing"",""นราธิวาส!M79"")+IMPORTRANGE(""https://docs.google.com/spreadsheets/d/1SDNX3JhDdYRuIOsj0Wh2M-Qa_eaXl0NbWmhAOTbf"&amp;"QAs/edit?usp=sharing"",""ปัตตานี!M79"")+IMPORTRANGE(""https://docs.google.com/spreadsheets/d/16JDLGguT8s5DsGCND1KcwHP_AWR_zDMTqLHPLJUKhaU/edit?usp=sharing"",""พังงา!M79"")+IMPORTRANGE(""https://docs.google.com/spreadsheets/d/17ht0gPKzzT3PObBL1XJkeRmntBXI7"&amp;"wGjpLV7QorqlTk/edit?usp=sharing"",""พัทลุง!M79"")+IMPORTRANGE(""https://docs.google.com/spreadsheets/d/1rd4qoM1q_hsgaolqNGfrim9gbsoLxQsda4-vOz5x_BM/edit?usp=sharing"",""ภูเก็ต!M79"")+IMPORTRANGE(""https://docs.google.com/spreadsheets/d/1woKwKjgoLssDvPcPeV"&amp;"yezB5izizAn4X1JDrys69n6xI/edit?usp=sharing"",""ยะลา!M79"")+IMPORTRANGE(""https://docs.google.com/spreadsheets/d/1qfrKjzMhm2HJfxQ-qVlJlJQ25Hne1d0khsySbZyGtPA/edit?usp=sharing"",""ระนอง!M79"")+IMPORTRANGE(""https://docs.google.com/spreadsheets/d/1IbSCnFOKpZ"&amp;"snFogBHJnL_isstZVaOMnFiIN0fGTPZZw/edit?usp=sharing"",""สงขลา!M79"")+IMPORTRANGE(""https://docs.google.com/spreadsheets/d/1q9nWasZJ-K8bFGvbE9n0qSRuKGA4Toe3Y89cKCiVtCU/edit?usp=sharing"",""สตูล!M79"")+IMPORTRANGE(""https://docs.google.com/spreadsheets/d/18T"&amp;"20gbkS_WBjdscyTOV05cvq_JqvqQ17C81mpxf7Ncs/edit?usp=sharing"",""สุราษฎร์ธานี!M79"")"),0)</f>
        <v>0</v>
      </c>
      <c r="N79" s="59">
        <f ca="1">IFERROR(__xludf.DUMMYFUNCTION("IMPORTRANGE(""https://docs.google.com/spreadsheets/d/1kKUcYdkIfrgTSj8iHHHB2MD2FAtwyyocFgqGQn6ADyI/edit?usp=sharing"",""กระบี่!N79"")+IMPORTRANGE(""https://docs.google.com/spreadsheets/d/1GwtLaSlNZkLk7iDqcyZz22giiy40b_usZZBXYciEN1U/edit?usp=sharing"",""ชุม"&amp;"พร!N79"")+IMPORTRANGE(""https://docs.google.com/spreadsheets/d/16pAz3pOhQEZBhvFNMa5KGgZS6iKWpsKX0pg6tQmwFpo/edit?usp=sharing"",""ตรัง!N79"")+IMPORTRANGE(""https://docs.google.com/spreadsheets/d/1Dj4jcHCTV9JXKCaMoheSXS52JE63kDKyG7bPXnFogHk/edit?usp=sharing"&amp;""",""นครศรีธรรมราช!N79"")+IMPORTRANGE(""https://docs.google.com/spreadsheets/d/1iodCdmuK2GR3jzUwk8tpccY2JHQQA-87DLOtJP-ooyU/edit?usp=sharing"",""นราธิวาส!N79"")+IMPORTRANGE(""https://docs.google.com/spreadsheets/d/1SDNX3JhDdYRuIOsj0Wh2M-Qa_eaXl0NbWmhAOTbf"&amp;"QAs/edit?usp=sharing"",""ปัตตานี!N79"")+IMPORTRANGE(""https://docs.google.com/spreadsheets/d/16JDLGguT8s5DsGCND1KcwHP_AWR_zDMTqLHPLJUKhaU/edit?usp=sharing"",""พังงา!N79"")+IMPORTRANGE(""https://docs.google.com/spreadsheets/d/17ht0gPKzzT3PObBL1XJkeRmntBXI7"&amp;"wGjpLV7QorqlTk/edit?usp=sharing"",""พัทลุง!N79"")+IMPORTRANGE(""https://docs.google.com/spreadsheets/d/1rd4qoM1q_hsgaolqNGfrim9gbsoLxQsda4-vOz5x_BM/edit?usp=sharing"",""ภูเก็ต!N79"")+IMPORTRANGE(""https://docs.google.com/spreadsheets/d/1woKwKjgoLssDvPcPeV"&amp;"yezB5izizAn4X1JDrys69n6xI/edit?usp=sharing"",""ยะลา!N79"")+IMPORTRANGE(""https://docs.google.com/spreadsheets/d/1qfrKjzMhm2HJfxQ-qVlJlJQ25Hne1d0khsySbZyGtPA/edit?usp=sharing"",""ระนอง!N79"")+IMPORTRANGE(""https://docs.google.com/spreadsheets/d/1IbSCnFOKpZ"&amp;"snFogBHJnL_isstZVaOMnFiIN0fGTPZZw/edit?usp=sharing"",""สงขลา!N79"")+IMPORTRANGE(""https://docs.google.com/spreadsheets/d/1q9nWasZJ-K8bFGvbE9n0qSRuKGA4Toe3Y89cKCiVtCU/edit?usp=sharing"",""สตูล!N79"")+IMPORTRANGE(""https://docs.google.com/spreadsheets/d/18T"&amp;"20gbkS_WBjdscyTOV05cvq_JqvqQ17C81mpxf7Ncs/edit?usp=sharing"",""สุราษฎร์ธานี!N79"")"),0)</f>
        <v>0</v>
      </c>
      <c r="O79" s="59">
        <f t="shared" ca="1" si="34"/>
        <v>0</v>
      </c>
      <c r="P79" s="59">
        <f t="shared" ca="1" si="35"/>
        <v>0</v>
      </c>
    </row>
    <row r="80" spans="1:16" ht="18.75" x14ac:dyDescent="0.25">
      <c r="A80" s="157"/>
      <c r="B80" s="53"/>
      <c r="C80" s="53"/>
      <c r="D80" s="53"/>
      <c r="E80" s="60" t="s">
        <v>19</v>
      </c>
      <c r="F80" s="53"/>
      <c r="G80" s="55"/>
      <c r="H80" s="166" t="s">
        <v>12</v>
      </c>
      <c r="I80" s="164"/>
      <c r="J80" s="164"/>
      <c r="K80" s="165"/>
      <c r="L80" s="59">
        <f ca="1">IFERROR(__xludf.DUMMYFUNCTION("IMPORTRANGE(""https://docs.google.com/spreadsheets/d/1kKUcYdkIfrgTSj8iHHHB2MD2FAtwyyocFgqGQn6ADyI/edit?usp=sharing"",""กระบี่!L80"")+IMPORTRANGE(""https://docs.google.com/spreadsheets/d/1GwtLaSlNZkLk7iDqcyZz22giiy40b_usZZBXYciEN1U/edit?usp=sharing"",""ชุม"&amp;"พร!L80"")+IMPORTRANGE(""https://docs.google.com/spreadsheets/d/16pAz3pOhQEZBhvFNMa5KGgZS6iKWpsKX0pg6tQmwFpo/edit?usp=sharing"",""ตรัง!L80"")+IMPORTRANGE(""https://docs.google.com/spreadsheets/d/1Dj4jcHCTV9JXKCaMoheSXS52JE63kDKyG7bPXnFogHk/edit?usp=sharing"&amp;""",""นครศรีธรรมราช!L80"")+IMPORTRANGE(""https://docs.google.com/spreadsheets/d/1iodCdmuK2GR3jzUwk8tpccY2JHQQA-87DLOtJP-ooyU/edit?usp=sharing"",""นราธิวาส!L80"")+IMPORTRANGE(""https://docs.google.com/spreadsheets/d/1SDNX3JhDdYRuIOsj0Wh2M-Qa_eaXl0NbWmhAOTbf"&amp;"QAs/edit?usp=sharing"",""ปัตตานี!L80"")+IMPORTRANGE(""https://docs.google.com/spreadsheets/d/16JDLGguT8s5DsGCND1KcwHP_AWR_zDMTqLHPLJUKhaU/edit?usp=sharing"",""พังงา!L80"")+IMPORTRANGE(""https://docs.google.com/spreadsheets/d/17ht0gPKzzT3PObBL1XJkeRmntBXI7"&amp;"wGjpLV7QorqlTk/edit?usp=sharing"",""พัทลุง!L80"")+IMPORTRANGE(""https://docs.google.com/spreadsheets/d/1rd4qoM1q_hsgaolqNGfrim9gbsoLxQsda4-vOz5x_BM/edit?usp=sharing"",""ภูเก็ต!L80"")+IMPORTRANGE(""https://docs.google.com/spreadsheets/d/1woKwKjgoLssDvPcPeV"&amp;"yezB5izizAn4X1JDrys69n6xI/edit?usp=sharing"",""ยะลา!L80"")+IMPORTRANGE(""https://docs.google.com/spreadsheets/d/1qfrKjzMhm2HJfxQ-qVlJlJQ25Hne1d0khsySbZyGtPA/edit?usp=sharing"",""ระนอง!L80"")+IMPORTRANGE(""https://docs.google.com/spreadsheets/d/1IbSCnFOKpZ"&amp;"snFogBHJnL_isstZVaOMnFiIN0fGTPZZw/edit?usp=sharing"",""สงขลา!L80"")+IMPORTRANGE(""https://docs.google.com/spreadsheets/d/1q9nWasZJ-K8bFGvbE9n0qSRuKGA4Toe3Y89cKCiVtCU/edit?usp=sharing"",""สตูล!L80"")+IMPORTRANGE(""https://docs.google.com/spreadsheets/d/18T"&amp;"20gbkS_WBjdscyTOV05cvq_JqvqQ17C81mpxf7Ncs/edit?usp=sharing"",""สุราษฎร์ธานี!L80"")"),0)</f>
        <v>0</v>
      </c>
      <c r="M80" s="59">
        <f ca="1">IFERROR(__xludf.DUMMYFUNCTION("IMPORTRANGE(""https://docs.google.com/spreadsheets/d/1kKUcYdkIfrgTSj8iHHHB2MD2FAtwyyocFgqGQn6ADyI/edit?usp=sharing"",""กระบี่!M80"")+IMPORTRANGE(""https://docs.google.com/spreadsheets/d/1GwtLaSlNZkLk7iDqcyZz22giiy40b_usZZBXYciEN1U/edit?usp=sharing"",""ชุม"&amp;"พร!M80"")+IMPORTRANGE(""https://docs.google.com/spreadsheets/d/16pAz3pOhQEZBhvFNMa5KGgZS6iKWpsKX0pg6tQmwFpo/edit?usp=sharing"",""ตรัง!M80"")+IMPORTRANGE(""https://docs.google.com/spreadsheets/d/1Dj4jcHCTV9JXKCaMoheSXS52JE63kDKyG7bPXnFogHk/edit?usp=sharing"&amp;""",""นครศรีธรรมราช!M80"")+IMPORTRANGE(""https://docs.google.com/spreadsheets/d/1iodCdmuK2GR3jzUwk8tpccY2JHQQA-87DLOtJP-ooyU/edit?usp=sharing"",""นราธิวาส!M80"")+IMPORTRANGE(""https://docs.google.com/spreadsheets/d/1SDNX3JhDdYRuIOsj0Wh2M-Qa_eaXl0NbWmhAOTbf"&amp;"QAs/edit?usp=sharing"",""ปัตตานี!M80"")+IMPORTRANGE(""https://docs.google.com/spreadsheets/d/16JDLGguT8s5DsGCND1KcwHP_AWR_zDMTqLHPLJUKhaU/edit?usp=sharing"",""พังงา!M80"")+IMPORTRANGE(""https://docs.google.com/spreadsheets/d/17ht0gPKzzT3PObBL1XJkeRmntBXI7"&amp;"wGjpLV7QorqlTk/edit?usp=sharing"",""พัทลุง!M80"")+IMPORTRANGE(""https://docs.google.com/spreadsheets/d/1rd4qoM1q_hsgaolqNGfrim9gbsoLxQsda4-vOz5x_BM/edit?usp=sharing"",""ภูเก็ต!M80"")+IMPORTRANGE(""https://docs.google.com/spreadsheets/d/1woKwKjgoLssDvPcPeV"&amp;"yezB5izizAn4X1JDrys69n6xI/edit?usp=sharing"",""ยะลา!M80"")+IMPORTRANGE(""https://docs.google.com/spreadsheets/d/1qfrKjzMhm2HJfxQ-qVlJlJQ25Hne1d0khsySbZyGtPA/edit?usp=sharing"",""ระนอง!M80"")+IMPORTRANGE(""https://docs.google.com/spreadsheets/d/1IbSCnFOKpZ"&amp;"snFogBHJnL_isstZVaOMnFiIN0fGTPZZw/edit?usp=sharing"",""สงขลา!M80"")+IMPORTRANGE(""https://docs.google.com/spreadsheets/d/1q9nWasZJ-K8bFGvbE9n0qSRuKGA4Toe3Y89cKCiVtCU/edit?usp=sharing"",""สตูล!M80"")+IMPORTRANGE(""https://docs.google.com/spreadsheets/d/18T"&amp;"20gbkS_WBjdscyTOV05cvq_JqvqQ17C81mpxf7Ncs/edit?usp=sharing"",""สุราษฎร์ธานี!M80"")"),0)</f>
        <v>0</v>
      </c>
      <c r="N80" s="59">
        <f ca="1">IFERROR(__xludf.DUMMYFUNCTION("IMPORTRANGE(""https://docs.google.com/spreadsheets/d/1kKUcYdkIfrgTSj8iHHHB2MD2FAtwyyocFgqGQn6ADyI/edit?usp=sharing"",""กระบี่!N80"")+IMPORTRANGE(""https://docs.google.com/spreadsheets/d/1GwtLaSlNZkLk7iDqcyZz22giiy40b_usZZBXYciEN1U/edit?usp=sharing"",""ชุม"&amp;"พร!N80"")+IMPORTRANGE(""https://docs.google.com/spreadsheets/d/16pAz3pOhQEZBhvFNMa5KGgZS6iKWpsKX0pg6tQmwFpo/edit?usp=sharing"",""ตรัง!N80"")+IMPORTRANGE(""https://docs.google.com/spreadsheets/d/1Dj4jcHCTV9JXKCaMoheSXS52JE63kDKyG7bPXnFogHk/edit?usp=sharing"&amp;""",""นครศรีธรรมราช!N80"")+IMPORTRANGE(""https://docs.google.com/spreadsheets/d/1iodCdmuK2GR3jzUwk8tpccY2JHQQA-87DLOtJP-ooyU/edit?usp=sharing"",""นราธิวาส!N80"")+IMPORTRANGE(""https://docs.google.com/spreadsheets/d/1SDNX3JhDdYRuIOsj0Wh2M-Qa_eaXl0NbWmhAOTbf"&amp;"QAs/edit?usp=sharing"",""ปัตตานี!N80"")+IMPORTRANGE(""https://docs.google.com/spreadsheets/d/16JDLGguT8s5DsGCND1KcwHP_AWR_zDMTqLHPLJUKhaU/edit?usp=sharing"",""พังงา!N80"")+IMPORTRANGE(""https://docs.google.com/spreadsheets/d/17ht0gPKzzT3PObBL1XJkeRmntBXI7"&amp;"wGjpLV7QorqlTk/edit?usp=sharing"",""พัทลุง!N80"")+IMPORTRANGE(""https://docs.google.com/spreadsheets/d/1rd4qoM1q_hsgaolqNGfrim9gbsoLxQsda4-vOz5x_BM/edit?usp=sharing"",""ภูเก็ต!N80"")+IMPORTRANGE(""https://docs.google.com/spreadsheets/d/1woKwKjgoLssDvPcPeV"&amp;"yezB5izizAn4X1JDrys69n6xI/edit?usp=sharing"",""ยะลา!N80"")+IMPORTRANGE(""https://docs.google.com/spreadsheets/d/1qfrKjzMhm2HJfxQ-qVlJlJQ25Hne1d0khsySbZyGtPA/edit?usp=sharing"",""ระนอง!N80"")+IMPORTRANGE(""https://docs.google.com/spreadsheets/d/1IbSCnFOKpZ"&amp;"snFogBHJnL_isstZVaOMnFiIN0fGTPZZw/edit?usp=sharing"",""สงขลา!N80"")+IMPORTRANGE(""https://docs.google.com/spreadsheets/d/1q9nWasZJ-K8bFGvbE9n0qSRuKGA4Toe3Y89cKCiVtCU/edit?usp=sharing"",""สตูล!N80"")+IMPORTRANGE(""https://docs.google.com/spreadsheets/d/18T"&amp;"20gbkS_WBjdscyTOV05cvq_JqvqQ17C81mpxf7Ncs/edit?usp=sharing"",""สุราษฎร์ธานี!N80"")"),0)</f>
        <v>0</v>
      </c>
      <c r="O80" s="59">
        <f t="shared" ca="1" si="34"/>
        <v>0</v>
      </c>
      <c r="P80" s="59">
        <f t="shared" ca="1" si="35"/>
        <v>0</v>
      </c>
    </row>
    <row r="81" spans="1:16" ht="19.5" x14ac:dyDescent="0.3">
      <c r="A81" s="167"/>
      <c r="B81" s="168"/>
      <c r="C81" s="158" t="s">
        <v>16</v>
      </c>
      <c r="D81" s="169" t="s">
        <v>36</v>
      </c>
      <c r="E81" s="170"/>
      <c r="F81" s="170"/>
      <c r="G81" s="171"/>
      <c r="H81" s="172"/>
      <c r="I81" s="164"/>
      <c r="J81" s="164"/>
      <c r="K81" s="165"/>
      <c r="L81" s="165"/>
      <c r="M81" s="165"/>
      <c r="N81" s="165"/>
      <c r="O81" s="165"/>
      <c r="P81" s="165"/>
    </row>
    <row r="82" spans="1:16" ht="19.5" x14ac:dyDescent="0.3">
      <c r="A82" s="167"/>
      <c r="B82" s="168"/>
      <c r="C82" s="168"/>
      <c r="D82" s="173" t="s">
        <v>37</v>
      </c>
      <c r="E82" s="174"/>
      <c r="F82" s="174"/>
      <c r="G82" s="172"/>
      <c r="H82" s="175" t="s">
        <v>32</v>
      </c>
      <c r="I82" s="176">
        <f t="shared" ref="I82:J82" ca="1" si="40">I84+I86+I88</f>
        <v>1</v>
      </c>
      <c r="J82" s="176">
        <f t="shared" ca="1" si="40"/>
        <v>0</v>
      </c>
      <c r="K82" s="177">
        <f t="shared" ref="K82:K90" ca="1" si="41">IF(I82&gt;0,J82*100/I82,0)</f>
        <v>0</v>
      </c>
      <c r="L82" s="165"/>
      <c r="M82" s="165"/>
      <c r="N82" s="165"/>
      <c r="O82" s="165"/>
      <c r="P82" s="165"/>
    </row>
    <row r="83" spans="1:16" ht="19.5" x14ac:dyDescent="0.3">
      <c r="A83" s="167"/>
      <c r="B83" s="168"/>
      <c r="C83" s="168"/>
      <c r="D83" s="168"/>
      <c r="E83" s="174"/>
      <c r="F83" s="174"/>
      <c r="G83" s="172"/>
      <c r="H83" s="175" t="s">
        <v>33</v>
      </c>
      <c r="I83" s="176">
        <f t="shared" ref="I83:J83" ca="1" si="42">I85+I87+I89</f>
        <v>30</v>
      </c>
      <c r="J83" s="176">
        <f t="shared" ca="1" si="42"/>
        <v>0</v>
      </c>
      <c r="K83" s="177">
        <f t="shared" ca="1" si="41"/>
        <v>0</v>
      </c>
      <c r="L83" s="165"/>
      <c r="M83" s="165"/>
      <c r="N83" s="165"/>
      <c r="O83" s="165"/>
      <c r="P83" s="165"/>
    </row>
    <row r="84" spans="1:16" ht="18.75" x14ac:dyDescent="0.25">
      <c r="A84" s="167"/>
      <c r="B84" s="168"/>
      <c r="C84" s="168"/>
      <c r="D84" s="168"/>
      <c r="E84" s="178" t="s">
        <v>38</v>
      </c>
      <c r="F84" s="174"/>
      <c r="G84" s="172"/>
      <c r="H84" s="179" t="s">
        <v>32</v>
      </c>
      <c r="I84" s="180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0)</f>
        <v>0</v>
      </c>
      <c r="J84" s="181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84" s="182">
        <f t="shared" ca="1" si="41"/>
        <v>0</v>
      </c>
      <c r="L84" s="165"/>
      <c r="M84" s="165"/>
      <c r="N84" s="165"/>
      <c r="O84" s="165"/>
      <c r="P84" s="165"/>
    </row>
    <row r="85" spans="1:16" ht="18.75" x14ac:dyDescent="0.25">
      <c r="A85" s="167"/>
      <c r="B85" s="168"/>
      <c r="C85" s="168"/>
      <c r="D85" s="168"/>
      <c r="E85" s="174"/>
      <c r="F85" s="174"/>
      <c r="G85" s="172"/>
      <c r="H85" s="179" t="s">
        <v>33</v>
      </c>
      <c r="I85" s="180">
        <f ca="1">IFERROR(__xludf.DUMMYFUNCTION("IMPORTRANGE(""https://docs.google.com/spreadsheets/d/1kKUcYdkIfrgTSj8iHHHB2MD2FAtwyyocFgqGQn6ADyI/edit?usp=sharing"",""กระบี่!I85"")+IMPORTRANGE(""https://docs.google.com/spreadsheets/d/1GwtLaSlNZkLk7iDqcyZz22giiy40b_usZZBXYciEN1U/edit?usp=sharing"",""ชุม"&amp;"พร!I85"")+IMPORTRANGE(""https://docs.google.com/spreadsheets/d/16pAz3pOhQEZBhvFNMa5KGgZS6iKWpsKX0pg6tQmwFpo/edit?usp=sharing"",""ตรัง!I85"")+IMPORTRANGE(""https://docs.google.com/spreadsheets/d/1Dj4jcHCTV9JXKCaMoheSXS52JE63kDKyG7bPXnFogHk/edit?usp=sharing"&amp;""",""นครศรีธรรมราช!I85"")+IMPORTRANGE(""https://docs.google.com/spreadsheets/d/1iodCdmuK2GR3jzUwk8tpccY2JHQQA-87DLOtJP-ooyU/edit?usp=sharing"",""นราธิวาส!I85"")+IMPORTRANGE(""https://docs.google.com/spreadsheets/d/1SDNX3JhDdYRuIOsj0Wh2M-Qa_eaXl0NbWmhAOTbf"&amp;"QAs/edit?usp=sharing"",""ปัตตานี!I85"")+IMPORTRANGE(""https://docs.google.com/spreadsheets/d/16JDLGguT8s5DsGCND1KcwHP_AWR_zDMTqLHPLJUKhaU/edit?usp=sharing"",""พังงา!I85"")+IMPORTRANGE(""https://docs.google.com/spreadsheets/d/17ht0gPKzzT3PObBL1XJkeRmntBXI7"&amp;"wGjpLV7QorqlTk/edit?usp=sharing"",""พัทลุง!I85"")+IMPORTRANGE(""https://docs.google.com/spreadsheets/d/1rd4qoM1q_hsgaolqNGfrim9gbsoLxQsda4-vOz5x_BM/edit?usp=sharing"",""ภูเก็ต!I85"")+IMPORTRANGE(""https://docs.google.com/spreadsheets/d/1woKwKjgoLssDvPcPeV"&amp;"yezB5izizAn4X1JDrys69n6xI/edit?usp=sharing"",""ยะลา!I85"")+IMPORTRANGE(""https://docs.google.com/spreadsheets/d/1qfrKjzMhm2HJfxQ-qVlJlJQ25Hne1d0khsySbZyGtPA/edit?usp=sharing"",""ระนอง!I85"")+IMPORTRANGE(""https://docs.google.com/spreadsheets/d/1IbSCnFOKpZ"&amp;"snFogBHJnL_isstZVaOMnFiIN0fGTPZZw/edit?usp=sharing"",""สงขลา!I85"")+IMPORTRANGE(""https://docs.google.com/spreadsheets/d/1q9nWasZJ-K8bFGvbE9n0qSRuKGA4Toe3Y89cKCiVtCU/edit?usp=sharing"",""สตูล!I85"")+IMPORTRANGE(""https://docs.google.com/spreadsheets/d/18T"&amp;"20gbkS_WBjdscyTOV05cvq_JqvqQ17C81mpxf7Ncs/edit?usp=sharing"",""สุราษฎร์ธานี!I85"")"),0)</f>
        <v>0</v>
      </c>
      <c r="J85" s="181">
        <f ca="1">IFERROR(__xludf.DUMMYFUNCTION("IMPORTRANGE(""https://docs.google.com/spreadsheets/d/1kKUcYdkIfrgTSj8iHHHB2MD2FAtwyyocFgqGQn6ADyI/edit?usp=sharing"",""กระบี่!J85"")+IMPORTRANGE(""https://docs.google.com/spreadsheets/d/1GwtLaSlNZkLk7iDqcyZz22giiy40b_usZZBXYciEN1U/edit?usp=sharing"",""ชุม"&amp;"พร!J85"")+IMPORTRANGE(""https://docs.google.com/spreadsheets/d/16pAz3pOhQEZBhvFNMa5KGgZS6iKWpsKX0pg6tQmwFpo/edit?usp=sharing"",""ตรัง!J85"")+IMPORTRANGE(""https://docs.google.com/spreadsheets/d/1Dj4jcHCTV9JXKCaMoheSXS52JE63kDKyG7bPXnFogHk/edit?usp=sharing"&amp;""",""นครศรีธรรมราช!J85"")+IMPORTRANGE(""https://docs.google.com/spreadsheets/d/1iodCdmuK2GR3jzUwk8tpccY2JHQQA-87DLOtJP-ooyU/edit?usp=sharing"",""นราธิวาส!J85"")+IMPORTRANGE(""https://docs.google.com/spreadsheets/d/1SDNX3JhDdYRuIOsj0Wh2M-Qa_eaXl0NbWmhAOTbf"&amp;"QAs/edit?usp=sharing"",""ปัตตานี!J85"")+IMPORTRANGE(""https://docs.google.com/spreadsheets/d/16JDLGguT8s5DsGCND1KcwHP_AWR_zDMTqLHPLJUKhaU/edit?usp=sharing"",""พังงา!J85"")+IMPORTRANGE(""https://docs.google.com/spreadsheets/d/17ht0gPKzzT3PObBL1XJkeRmntBXI7"&amp;"wGjpLV7QorqlTk/edit?usp=sharing"",""พัทลุง!J85"")+IMPORTRANGE(""https://docs.google.com/spreadsheets/d/1rd4qoM1q_hsgaolqNGfrim9gbsoLxQsda4-vOz5x_BM/edit?usp=sharing"",""ภูเก็ต!J85"")+IMPORTRANGE(""https://docs.google.com/spreadsheets/d/1woKwKjgoLssDvPcPeV"&amp;"yezB5izizAn4X1JDrys69n6xI/edit?usp=sharing"",""ยะลา!J85"")+IMPORTRANGE(""https://docs.google.com/spreadsheets/d/1qfrKjzMhm2HJfxQ-qVlJlJQ25Hne1d0khsySbZyGtPA/edit?usp=sharing"",""ระนอง!J85"")+IMPORTRANGE(""https://docs.google.com/spreadsheets/d/1IbSCnFOKpZ"&amp;"snFogBHJnL_isstZVaOMnFiIN0fGTPZZw/edit?usp=sharing"",""สงขลา!J85"")+IMPORTRANGE(""https://docs.google.com/spreadsheets/d/1q9nWasZJ-K8bFGvbE9n0qSRuKGA4Toe3Y89cKCiVtCU/edit?usp=sharing"",""สตูล!J85"")+IMPORTRANGE(""https://docs.google.com/spreadsheets/d/18T"&amp;"20gbkS_WBjdscyTOV05cvq_JqvqQ17C81mpxf7Ncs/edit?usp=sharing"",""สุราษฎร์ธานี!J85"")"),0)</f>
        <v>0</v>
      </c>
      <c r="K85" s="182">
        <f t="shared" ca="1" si="41"/>
        <v>0</v>
      </c>
      <c r="L85" s="165"/>
      <c r="M85" s="165"/>
      <c r="N85" s="165"/>
      <c r="O85" s="165"/>
      <c r="P85" s="165"/>
    </row>
    <row r="86" spans="1:16" ht="18.75" x14ac:dyDescent="0.25">
      <c r="A86" s="167"/>
      <c r="B86" s="168"/>
      <c r="C86" s="168"/>
      <c r="D86" s="168"/>
      <c r="E86" s="178" t="s">
        <v>39</v>
      </c>
      <c r="F86" s="174"/>
      <c r="G86" s="172"/>
      <c r="H86" s="179" t="s">
        <v>32</v>
      </c>
      <c r="I86" s="180">
        <f ca="1">IFERROR(__xludf.DUMMYFUNCTION("IMPORTRANGE(""https://docs.google.com/spreadsheets/d/1kKUcYdkIfrgTSj8iHHHB2MD2FAtwyyocFgqGQn6ADyI/edit?usp=sharing"",""กระบี่!I86"")+IMPORTRANGE(""https://docs.google.com/spreadsheets/d/1GwtLaSlNZkLk7iDqcyZz22giiy40b_usZZBXYciEN1U/edit?usp=sharing"",""ชุม"&amp;"พร!I86"")+IMPORTRANGE(""https://docs.google.com/spreadsheets/d/16pAz3pOhQEZBhvFNMa5KGgZS6iKWpsKX0pg6tQmwFpo/edit?usp=sharing"",""ตรัง!I86"")+IMPORTRANGE(""https://docs.google.com/spreadsheets/d/1Dj4jcHCTV9JXKCaMoheSXS52JE63kDKyG7bPXnFogHk/edit?usp=sharing"&amp;""",""นครศรีธรรมราช!I86"")+IMPORTRANGE(""https://docs.google.com/spreadsheets/d/1iodCdmuK2GR3jzUwk8tpccY2JHQQA-87DLOtJP-ooyU/edit?usp=sharing"",""นราธิวาส!I86"")+IMPORTRANGE(""https://docs.google.com/spreadsheets/d/1SDNX3JhDdYRuIOsj0Wh2M-Qa_eaXl0NbWmhAOTbf"&amp;"QAs/edit?usp=sharing"",""ปัตตานี!I86"")+IMPORTRANGE(""https://docs.google.com/spreadsheets/d/16JDLGguT8s5DsGCND1KcwHP_AWR_zDMTqLHPLJUKhaU/edit?usp=sharing"",""พังงา!I86"")+IMPORTRANGE(""https://docs.google.com/spreadsheets/d/17ht0gPKzzT3PObBL1XJkeRmntBXI7"&amp;"wGjpLV7QorqlTk/edit?usp=sharing"",""พัทลุง!I86"")+IMPORTRANGE(""https://docs.google.com/spreadsheets/d/1rd4qoM1q_hsgaolqNGfrim9gbsoLxQsda4-vOz5x_BM/edit?usp=sharing"",""ภูเก็ต!I86"")+IMPORTRANGE(""https://docs.google.com/spreadsheets/d/1woKwKjgoLssDvPcPeV"&amp;"yezB5izizAn4X1JDrys69n6xI/edit?usp=sharing"",""ยะลา!I86"")+IMPORTRANGE(""https://docs.google.com/spreadsheets/d/1qfrKjzMhm2HJfxQ-qVlJlJQ25Hne1d0khsySbZyGtPA/edit?usp=sharing"",""ระนอง!I86"")+IMPORTRANGE(""https://docs.google.com/spreadsheets/d/1IbSCnFOKpZ"&amp;"snFogBHJnL_isstZVaOMnFiIN0fGTPZZw/edit?usp=sharing"",""สงขลา!I86"")+IMPORTRANGE(""https://docs.google.com/spreadsheets/d/1q9nWasZJ-K8bFGvbE9n0qSRuKGA4Toe3Y89cKCiVtCU/edit?usp=sharing"",""สตูล!I86"")+IMPORTRANGE(""https://docs.google.com/spreadsheets/d/18T"&amp;"20gbkS_WBjdscyTOV05cvq_JqvqQ17C81mpxf7Ncs/edit?usp=sharing"",""สุราษฎร์ธานี!I86"")"),0)</f>
        <v>0</v>
      </c>
      <c r="J86" s="181">
        <f ca="1">IFERROR(__xludf.DUMMYFUNCTION("IMPORTRANGE(""https://docs.google.com/spreadsheets/d/1kKUcYdkIfrgTSj8iHHHB2MD2FAtwyyocFgqGQn6ADyI/edit?usp=sharing"",""กระบี่!J86"")+IMPORTRANGE(""https://docs.google.com/spreadsheets/d/1GwtLaSlNZkLk7iDqcyZz22giiy40b_usZZBXYciEN1U/edit?usp=sharing"",""ชุม"&amp;"พร!J86"")+IMPORTRANGE(""https://docs.google.com/spreadsheets/d/16pAz3pOhQEZBhvFNMa5KGgZS6iKWpsKX0pg6tQmwFpo/edit?usp=sharing"",""ตรัง!J86"")+IMPORTRANGE(""https://docs.google.com/spreadsheets/d/1Dj4jcHCTV9JXKCaMoheSXS52JE63kDKyG7bPXnFogHk/edit?usp=sharing"&amp;""",""นครศรีธรรมราช!J86"")+IMPORTRANGE(""https://docs.google.com/spreadsheets/d/1iodCdmuK2GR3jzUwk8tpccY2JHQQA-87DLOtJP-ooyU/edit?usp=sharing"",""นราธิวาส!J86"")+IMPORTRANGE(""https://docs.google.com/spreadsheets/d/1SDNX3JhDdYRuIOsj0Wh2M-Qa_eaXl0NbWmhAOTbf"&amp;"QAs/edit?usp=sharing"",""ปัตตานี!J86"")+IMPORTRANGE(""https://docs.google.com/spreadsheets/d/16JDLGguT8s5DsGCND1KcwHP_AWR_zDMTqLHPLJUKhaU/edit?usp=sharing"",""พังงา!J86"")+IMPORTRANGE(""https://docs.google.com/spreadsheets/d/17ht0gPKzzT3PObBL1XJkeRmntBXI7"&amp;"wGjpLV7QorqlTk/edit?usp=sharing"",""พัทลุง!J86"")+IMPORTRANGE(""https://docs.google.com/spreadsheets/d/1rd4qoM1q_hsgaolqNGfrim9gbsoLxQsda4-vOz5x_BM/edit?usp=sharing"",""ภูเก็ต!J86"")+IMPORTRANGE(""https://docs.google.com/spreadsheets/d/1woKwKjgoLssDvPcPeV"&amp;"yezB5izizAn4X1JDrys69n6xI/edit?usp=sharing"",""ยะลา!J86"")+IMPORTRANGE(""https://docs.google.com/spreadsheets/d/1qfrKjzMhm2HJfxQ-qVlJlJQ25Hne1d0khsySbZyGtPA/edit?usp=sharing"",""ระนอง!J86"")+IMPORTRANGE(""https://docs.google.com/spreadsheets/d/1IbSCnFOKpZ"&amp;"snFogBHJnL_isstZVaOMnFiIN0fGTPZZw/edit?usp=sharing"",""สงขลา!J86"")+IMPORTRANGE(""https://docs.google.com/spreadsheets/d/1q9nWasZJ-K8bFGvbE9n0qSRuKGA4Toe3Y89cKCiVtCU/edit?usp=sharing"",""สตูล!J86"")+IMPORTRANGE(""https://docs.google.com/spreadsheets/d/18T"&amp;"20gbkS_WBjdscyTOV05cvq_JqvqQ17C81mpxf7Ncs/edit?usp=sharing"",""สุราษฎร์ธานี!J86"")"),0)</f>
        <v>0</v>
      </c>
      <c r="K86" s="182">
        <f t="shared" ca="1" si="41"/>
        <v>0</v>
      </c>
      <c r="L86" s="165"/>
      <c r="M86" s="165"/>
      <c r="N86" s="165"/>
      <c r="O86" s="165"/>
      <c r="P86" s="165"/>
    </row>
    <row r="87" spans="1:16" ht="18.75" x14ac:dyDescent="0.25">
      <c r="A87" s="167"/>
      <c r="B87" s="168"/>
      <c r="C87" s="168"/>
      <c r="D87" s="168"/>
      <c r="E87" s="174"/>
      <c r="F87" s="174"/>
      <c r="G87" s="172"/>
      <c r="H87" s="179" t="s">
        <v>33</v>
      </c>
      <c r="I87" s="180">
        <f ca="1">IFERROR(__xludf.DUMMYFUNCTION("IMPORTRANGE(""https://docs.google.com/spreadsheets/d/1kKUcYdkIfrgTSj8iHHHB2MD2FAtwyyocFgqGQn6ADyI/edit?usp=sharing"",""กระบี่!I87"")+IMPORTRANGE(""https://docs.google.com/spreadsheets/d/1GwtLaSlNZkLk7iDqcyZz22giiy40b_usZZBXYciEN1U/edit?usp=sharing"",""ชุม"&amp;"พร!I87"")+IMPORTRANGE(""https://docs.google.com/spreadsheets/d/16pAz3pOhQEZBhvFNMa5KGgZS6iKWpsKX0pg6tQmwFpo/edit?usp=sharing"",""ตรัง!I87"")+IMPORTRANGE(""https://docs.google.com/spreadsheets/d/1Dj4jcHCTV9JXKCaMoheSXS52JE63kDKyG7bPXnFogHk/edit?usp=sharing"&amp;""",""นครศรีธรรมราช!I87"")+IMPORTRANGE(""https://docs.google.com/spreadsheets/d/1iodCdmuK2GR3jzUwk8tpccY2JHQQA-87DLOtJP-ooyU/edit?usp=sharing"",""นราธิวาส!I87"")+IMPORTRANGE(""https://docs.google.com/spreadsheets/d/1SDNX3JhDdYRuIOsj0Wh2M-Qa_eaXl0NbWmhAOTbf"&amp;"QAs/edit?usp=sharing"",""ปัตตานี!I87"")+IMPORTRANGE(""https://docs.google.com/spreadsheets/d/16JDLGguT8s5DsGCND1KcwHP_AWR_zDMTqLHPLJUKhaU/edit?usp=sharing"",""พังงา!I87"")+IMPORTRANGE(""https://docs.google.com/spreadsheets/d/17ht0gPKzzT3PObBL1XJkeRmntBXI7"&amp;"wGjpLV7QorqlTk/edit?usp=sharing"",""พัทลุง!I87"")+IMPORTRANGE(""https://docs.google.com/spreadsheets/d/1rd4qoM1q_hsgaolqNGfrim9gbsoLxQsda4-vOz5x_BM/edit?usp=sharing"",""ภูเก็ต!I87"")+IMPORTRANGE(""https://docs.google.com/spreadsheets/d/1woKwKjgoLssDvPcPeV"&amp;"yezB5izizAn4X1JDrys69n6xI/edit?usp=sharing"",""ยะลา!I87"")+IMPORTRANGE(""https://docs.google.com/spreadsheets/d/1qfrKjzMhm2HJfxQ-qVlJlJQ25Hne1d0khsySbZyGtPA/edit?usp=sharing"",""ระนอง!I87"")+IMPORTRANGE(""https://docs.google.com/spreadsheets/d/1IbSCnFOKpZ"&amp;"snFogBHJnL_isstZVaOMnFiIN0fGTPZZw/edit?usp=sharing"",""สงขลา!I87"")+IMPORTRANGE(""https://docs.google.com/spreadsheets/d/1q9nWasZJ-K8bFGvbE9n0qSRuKGA4Toe3Y89cKCiVtCU/edit?usp=sharing"",""สตูล!I87"")+IMPORTRANGE(""https://docs.google.com/spreadsheets/d/18T"&amp;"20gbkS_WBjdscyTOV05cvq_JqvqQ17C81mpxf7Ncs/edit?usp=sharing"",""สุราษฎร์ธานี!I87"")"),0)</f>
        <v>0</v>
      </c>
      <c r="J87" s="181">
        <f ca="1">IFERROR(__xludf.DUMMYFUNCTION("IMPORTRANGE(""https://docs.google.com/spreadsheets/d/1kKUcYdkIfrgTSj8iHHHB2MD2FAtwyyocFgqGQn6ADyI/edit?usp=sharing"",""กระบี่!J87"")+IMPORTRANGE(""https://docs.google.com/spreadsheets/d/1GwtLaSlNZkLk7iDqcyZz22giiy40b_usZZBXYciEN1U/edit?usp=sharing"",""ชุม"&amp;"พร!J87"")+IMPORTRANGE(""https://docs.google.com/spreadsheets/d/16pAz3pOhQEZBhvFNMa5KGgZS6iKWpsKX0pg6tQmwFpo/edit?usp=sharing"",""ตรัง!J87"")+IMPORTRANGE(""https://docs.google.com/spreadsheets/d/1Dj4jcHCTV9JXKCaMoheSXS52JE63kDKyG7bPXnFogHk/edit?usp=sharing"&amp;""",""นครศรีธรรมราช!J87"")+IMPORTRANGE(""https://docs.google.com/spreadsheets/d/1iodCdmuK2GR3jzUwk8tpccY2JHQQA-87DLOtJP-ooyU/edit?usp=sharing"",""นราธิวาส!J87"")+IMPORTRANGE(""https://docs.google.com/spreadsheets/d/1SDNX3JhDdYRuIOsj0Wh2M-Qa_eaXl0NbWmhAOTbf"&amp;"QAs/edit?usp=sharing"",""ปัตตานี!J87"")+IMPORTRANGE(""https://docs.google.com/spreadsheets/d/16JDLGguT8s5DsGCND1KcwHP_AWR_zDMTqLHPLJUKhaU/edit?usp=sharing"",""พังงา!J87"")+IMPORTRANGE(""https://docs.google.com/spreadsheets/d/17ht0gPKzzT3PObBL1XJkeRmntBXI7"&amp;"wGjpLV7QorqlTk/edit?usp=sharing"",""พัทลุง!J87"")+IMPORTRANGE(""https://docs.google.com/spreadsheets/d/1rd4qoM1q_hsgaolqNGfrim9gbsoLxQsda4-vOz5x_BM/edit?usp=sharing"",""ภูเก็ต!J87"")+IMPORTRANGE(""https://docs.google.com/spreadsheets/d/1woKwKjgoLssDvPcPeV"&amp;"yezB5izizAn4X1JDrys69n6xI/edit?usp=sharing"",""ยะลา!J87"")+IMPORTRANGE(""https://docs.google.com/spreadsheets/d/1qfrKjzMhm2HJfxQ-qVlJlJQ25Hne1d0khsySbZyGtPA/edit?usp=sharing"",""ระนอง!J87"")+IMPORTRANGE(""https://docs.google.com/spreadsheets/d/1IbSCnFOKpZ"&amp;"snFogBHJnL_isstZVaOMnFiIN0fGTPZZw/edit?usp=sharing"",""สงขลา!J87"")+IMPORTRANGE(""https://docs.google.com/spreadsheets/d/1q9nWasZJ-K8bFGvbE9n0qSRuKGA4Toe3Y89cKCiVtCU/edit?usp=sharing"",""สตูล!J87"")+IMPORTRANGE(""https://docs.google.com/spreadsheets/d/18T"&amp;"20gbkS_WBjdscyTOV05cvq_JqvqQ17C81mpxf7Ncs/edit?usp=sharing"",""สุราษฎร์ธานี!J87"")"),0)</f>
        <v>0</v>
      </c>
      <c r="K87" s="182">
        <f t="shared" ca="1" si="41"/>
        <v>0</v>
      </c>
      <c r="L87" s="165"/>
      <c r="M87" s="165"/>
      <c r="N87" s="165"/>
      <c r="O87" s="165"/>
      <c r="P87" s="165"/>
    </row>
    <row r="88" spans="1:16" ht="18.75" x14ac:dyDescent="0.25">
      <c r="A88" s="167"/>
      <c r="B88" s="168"/>
      <c r="C88" s="168"/>
      <c r="D88" s="168"/>
      <c r="E88" s="178" t="s">
        <v>40</v>
      </c>
      <c r="F88" s="174"/>
      <c r="G88" s="172"/>
      <c r="H88" s="179" t="s">
        <v>32</v>
      </c>
      <c r="I88" s="180">
        <f ca="1">IFERROR(__xludf.DUMMYFUNCTION("IMPORTRANGE(""https://docs.google.com/spreadsheets/d/1kKUcYdkIfrgTSj8iHHHB2MD2FAtwyyocFgqGQn6ADyI/edit?usp=sharing"",""กระบี่!I88"")+IMPORTRANGE(""https://docs.google.com/spreadsheets/d/1GwtLaSlNZkLk7iDqcyZz22giiy40b_usZZBXYciEN1U/edit?usp=sharing"",""ชุม"&amp;"พร!I88"")+IMPORTRANGE(""https://docs.google.com/spreadsheets/d/16pAz3pOhQEZBhvFNMa5KGgZS6iKWpsKX0pg6tQmwFpo/edit?usp=sharing"",""ตรัง!I88"")+IMPORTRANGE(""https://docs.google.com/spreadsheets/d/1Dj4jcHCTV9JXKCaMoheSXS52JE63kDKyG7bPXnFogHk/edit?usp=sharing"&amp;""",""นครศรีธรรมราช!I88"")+IMPORTRANGE(""https://docs.google.com/spreadsheets/d/1iodCdmuK2GR3jzUwk8tpccY2JHQQA-87DLOtJP-ooyU/edit?usp=sharing"",""นราธิวาส!I88"")+IMPORTRANGE(""https://docs.google.com/spreadsheets/d/1SDNX3JhDdYRuIOsj0Wh2M-Qa_eaXl0NbWmhAOTbf"&amp;"QAs/edit?usp=sharing"",""ปัตตานี!I88"")+IMPORTRANGE(""https://docs.google.com/spreadsheets/d/16JDLGguT8s5DsGCND1KcwHP_AWR_zDMTqLHPLJUKhaU/edit?usp=sharing"",""พังงา!I88"")+IMPORTRANGE(""https://docs.google.com/spreadsheets/d/17ht0gPKzzT3PObBL1XJkeRmntBXI7"&amp;"wGjpLV7QorqlTk/edit?usp=sharing"",""พัทลุง!I88"")+IMPORTRANGE(""https://docs.google.com/spreadsheets/d/1rd4qoM1q_hsgaolqNGfrim9gbsoLxQsda4-vOz5x_BM/edit?usp=sharing"",""ภูเก็ต!I88"")+IMPORTRANGE(""https://docs.google.com/spreadsheets/d/1woKwKjgoLssDvPcPeV"&amp;"yezB5izizAn4X1JDrys69n6xI/edit?usp=sharing"",""ยะลา!I88"")+IMPORTRANGE(""https://docs.google.com/spreadsheets/d/1qfrKjzMhm2HJfxQ-qVlJlJQ25Hne1d0khsySbZyGtPA/edit?usp=sharing"",""ระนอง!I88"")+IMPORTRANGE(""https://docs.google.com/spreadsheets/d/1IbSCnFOKpZ"&amp;"snFogBHJnL_isstZVaOMnFiIN0fGTPZZw/edit?usp=sharing"",""สงขลา!I88"")+IMPORTRANGE(""https://docs.google.com/spreadsheets/d/1q9nWasZJ-K8bFGvbE9n0qSRuKGA4Toe3Y89cKCiVtCU/edit?usp=sharing"",""สตูล!I88"")+IMPORTRANGE(""https://docs.google.com/spreadsheets/d/18T"&amp;"20gbkS_WBjdscyTOV05cvq_JqvqQ17C81mpxf7Ncs/edit?usp=sharing"",""สุราษฎร์ธานี!I88"")"),1)</f>
        <v>1</v>
      </c>
      <c r="J88" s="181">
        <f ca="1">IFERROR(__xludf.DUMMYFUNCTION("IMPORTRANGE(""https://docs.google.com/spreadsheets/d/1kKUcYdkIfrgTSj8iHHHB2MD2FAtwyyocFgqGQn6ADyI/edit?usp=sharing"",""กระบี่!J88"")+IMPORTRANGE(""https://docs.google.com/spreadsheets/d/1GwtLaSlNZkLk7iDqcyZz22giiy40b_usZZBXYciEN1U/edit?usp=sharing"",""ชุม"&amp;"พร!J88"")+IMPORTRANGE(""https://docs.google.com/spreadsheets/d/16pAz3pOhQEZBhvFNMa5KGgZS6iKWpsKX0pg6tQmwFpo/edit?usp=sharing"",""ตรัง!J88"")+IMPORTRANGE(""https://docs.google.com/spreadsheets/d/1Dj4jcHCTV9JXKCaMoheSXS52JE63kDKyG7bPXnFogHk/edit?usp=sharing"&amp;""",""นครศรีธรรมราช!J88"")+IMPORTRANGE(""https://docs.google.com/spreadsheets/d/1iodCdmuK2GR3jzUwk8tpccY2JHQQA-87DLOtJP-ooyU/edit?usp=sharing"",""นราธิวาส!J88"")+IMPORTRANGE(""https://docs.google.com/spreadsheets/d/1SDNX3JhDdYRuIOsj0Wh2M-Qa_eaXl0NbWmhAOTbf"&amp;"QAs/edit?usp=sharing"",""ปัตตานี!J88"")+IMPORTRANGE(""https://docs.google.com/spreadsheets/d/16JDLGguT8s5DsGCND1KcwHP_AWR_zDMTqLHPLJUKhaU/edit?usp=sharing"",""พังงา!J88"")+IMPORTRANGE(""https://docs.google.com/spreadsheets/d/17ht0gPKzzT3PObBL1XJkeRmntBXI7"&amp;"wGjpLV7QorqlTk/edit?usp=sharing"",""พัทลุง!J88"")+IMPORTRANGE(""https://docs.google.com/spreadsheets/d/1rd4qoM1q_hsgaolqNGfrim9gbsoLxQsda4-vOz5x_BM/edit?usp=sharing"",""ภูเก็ต!J88"")+IMPORTRANGE(""https://docs.google.com/spreadsheets/d/1woKwKjgoLssDvPcPeV"&amp;"yezB5izizAn4X1JDrys69n6xI/edit?usp=sharing"",""ยะลา!J88"")+IMPORTRANGE(""https://docs.google.com/spreadsheets/d/1qfrKjzMhm2HJfxQ-qVlJlJQ25Hne1d0khsySbZyGtPA/edit?usp=sharing"",""ระนอง!J88"")+IMPORTRANGE(""https://docs.google.com/spreadsheets/d/1IbSCnFOKpZ"&amp;"snFogBHJnL_isstZVaOMnFiIN0fGTPZZw/edit?usp=sharing"",""สงขลา!J88"")+IMPORTRANGE(""https://docs.google.com/spreadsheets/d/1q9nWasZJ-K8bFGvbE9n0qSRuKGA4Toe3Y89cKCiVtCU/edit?usp=sharing"",""สตูล!J88"")+IMPORTRANGE(""https://docs.google.com/spreadsheets/d/18T"&amp;"20gbkS_WBjdscyTOV05cvq_JqvqQ17C81mpxf7Ncs/edit?usp=sharing"",""สุราษฎร์ธานี!J88"")"),0)</f>
        <v>0</v>
      </c>
      <c r="K88" s="182">
        <f t="shared" ca="1" si="41"/>
        <v>0</v>
      </c>
      <c r="L88" s="165"/>
      <c r="M88" s="165"/>
      <c r="N88" s="165"/>
      <c r="O88" s="165"/>
      <c r="P88" s="165"/>
    </row>
    <row r="89" spans="1:16" ht="18.75" x14ac:dyDescent="0.25">
      <c r="A89" s="167"/>
      <c r="B89" s="168"/>
      <c r="C89" s="168"/>
      <c r="D89" s="168"/>
      <c r="E89" s="174"/>
      <c r="F89" s="174"/>
      <c r="G89" s="172"/>
      <c r="H89" s="179" t="s">
        <v>33</v>
      </c>
      <c r="I89" s="180">
        <f ca="1">IFERROR(__xludf.DUMMYFUNCTION("IMPORTRANGE(""https://docs.google.com/spreadsheets/d/1kKUcYdkIfrgTSj8iHHHB2MD2FAtwyyocFgqGQn6ADyI/edit?usp=sharing"",""กระบี่!I89"")+IMPORTRANGE(""https://docs.google.com/spreadsheets/d/1GwtLaSlNZkLk7iDqcyZz22giiy40b_usZZBXYciEN1U/edit?usp=sharing"",""ชุม"&amp;"พร!I89"")+IMPORTRANGE(""https://docs.google.com/spreadsheets/d/16pAz3pOhQEZBhvFNMa5KGgZS6iKWpsKX0pg6tQmwFpo/edit?usp=sharing"",""ตรัง!I89"")+IMPORTRANGE(""https://docs.google.com/spreadsheets/d/1Dj4jcHCTV9JXKCaMoheSXS52JE63kDKyG7bPXnFogHk/edit?usp=sharing"&amp;""",""นครศรีธรรมราช!I89"")+IMPORTRANGE(""https://docs.google.com/spreadsheets/d/1iodCdmuK2GR3jzUwk8tpccY2JHQQA-87DLOtJP-ooyU/edit?usp=sharing"",""นราธิวาส!I89"")+IMPORTRANGE(""https://docs.google.com/spreadsheets/d/1SDNX3JhDdYRuIOsj0Wh2M-Qa_eaXl0NbWmhAOTbf"&amp;"QAs/edit?usp=sharing"",""ปัตตานี!I89"")+IMPORTRANGE(""https://docs.google.com/spreadsheets/d/16JDLGguT8s5DsGCND1KcwHP_AWR_zDMTqLHPLJUKhaU/edit?usp=sharing"",""พังงา!I89"")+IMPORTRANGE(""https://docs.google.com/spreadsheets/d/17ht0gPKzzT3PObBL1XJkeRmntBXI7"&amp;"wGjpLV7QorqlTk/edit?usp=sharing"",""พัทลุง!I89"")+IMPORTRANGE(""https://docs.google.com/spreadsheets/d/1rd4qoM1q_hsgaolqNGfrim9gbsoLxQsda4-vOz5x_BM/edit?usp=sharing"",""ภูเก็ต!I89"")+IMPORTRANGE(""https://docs.google.com/spreadsheets/d/1woKwKjgoLssDvPcPeV"&amp;"yezB5izizAn4X1JDrys69n6xI/edit?usp=sharing"",""ยะลา!I89"")+IMPORTRANGE(""https://docs.google.com/spreadsheets/d/1qfrKjzMhm2HJfxQ-qVlJlJQ25Hne1d0khsySbZyGtPA/edit?usp=sharing"",""ระนอง!I89"")+IMPORTRANGE(""https://docs.google.com/spreadsheets/d/1IbSCnFOKpZ"&amp;"snFogBHJnL_isstZVaOMnFiIN0fGTPZZw/edit?usp=sharing"",""สงขลา!I89"")+IMPORTRANGE(""https://docs.google.com/spreadsheets/d/1q9nWasZJ-K8bFGvbE9n0qSRuKGA4Toe3Y89cKCiVtCU/edit?usp=sharing"",""สตูล!I89"")+IMPORTRANGE(""https://docs.google.com/spreadsheets/d/18T"&amp;"20gbkS_WBjdscyTOV05cvq_JqvqQ17C81mpxf7Ncs/edit?usp=sharing"",""สุราษฎร์ธานี!I89"")"),30)</f>
        <v>30</v>
      </c>
      <c r="J89" s="181">
        <f ca="1">IFERROR(__xludf.DUMMYFUNCTION("IMPORTRANGE(""https://docs.google.com/spreadsheets/d/1kKUcYdkIfrgTSj8iHHHB2MD2FAtwyyocFgqGQn6ADyI/edit?usp=sharing"",""กระบี่!J89"")+IMPORTRANGE(""https://docs.google.com/spreadsheets/d/1GwtLaSlNZkLk7iDqcyZz22giiy40b_usZZBXYciEN1U/edit?usp=sharing"",""ชุม"&amp;"พร!J89"")+IMPORTRANGE(""https://docs.google.com/spreadsheets/d/16pAz3pOhQEZBhvFNMa5KGgZS6iKWpsKX0pg6tQmwFpo/edit?usp=sharing"",""ตรัง!J89"")+IMPORTRANGE(""https://docs.google.com/spreadsheets/d/1Dj4jcHCTV9JXKCaMoheSXS52JE63kDKyG7bPXnFogHk/edit?usp=sharing"&amp;""",""นครศรีธรรมราช!J89"")+IMPORTRANGE(""https://docs.google.com/spreadsheets/d/1iodCdmuK2GR3jzUwk8tpccY2JHQQA-87DLOtJP-ooyU/edit?usp=sharing"",""นราธิวาส!J89"")+IMPORTRANGE(""https://docs.google.com/spreadsheets/d/1SDNX3JhDdYRuIOsj0Wh2M-Qa_eaXl0NbWmhAOTbf"&amp;"QAs/edit?usp=sharing"",""ปัตตานี!J89"")+IMPORTRANGE(""https://docs.google.com/spreadsheets/d/16JDLGguT8s5DsGCND1KcwHP_AWR_zDMTqLHPLJUKhaU/edit?usp=sharing"",""พังงา!J89"")+IMPORTRANGE(""https://docs.google.com/spreadsheets/d/17ht0gPKzzT3PObBL1XJkeRmntBXI7"&amp;"wGjpLV7QorqlTk/edit?usp=sharing"",""พัทลุง!J89"")+IMPORTRANGE(""https://docs.google.com/spreadsheets/d/1rd4qoM1q_hsgaolqNGfrim9gbsoLxQsda4-vOz5x_BM/edit?usp=sharing"",""ภูเก็ต!J89"")+IMPORTRANGE(""https://docs.google.com/spreadsheets/d/1woKwKjgoLssDvPcPeV"&amp;"yezB5izizAn4X1JDrys69n6xI/edit?usp=sharing"",""ยะลา!J89"")+IMPORTRANGE(""https://docs.google.com/spreadsheets/d/1qfrKjzMhm2HJfxQ-qVlJlJQ25Hne1d0khsySbZyGtPA/edit?usp=sharing"",""ระนอง!J89"")+IMPORTRANGE(""https://docs.google.com/spreadsheets/d/1IbSCnFOKpZ"&amp;"snFogBHJnL_isstZVaOMnFiIN0fGTPZZw/edit?usp=sharing"",""สงขลา!J89"")+IMPORTRANGE(""https://docs.google.com/spreadsheets/d/1q9nWasZJ-K8bFGvbE9n0qSRuKGA4Toe3Y89cKCiVtCU/edit?usp=sharing"",""สตูล!J89"")+IMPORTRANGE(""https://docs.google.com/spreadsheets/d/18T"&amp;"20gbkS_WBjdscyTOV05cvq_JqvqQ17C81mpxf7Ncs/edit?usp=sharing"",""สุราษฎร์ธานี!J89"")"),0)</f>
        <v>0</v>
      </c>
      <c r="K89" s="182">
        <f t="shared" ca="1" si="41"/>
        <v>0</v>
      </c>
      <c r="L89" s="165"/>
      <c r="M89" s="165"/>
      <c r="N89" s="165"/>
      <c r="O89" s="165"/>
      <c r="P89" s="165"/>
    </row>
    <row r="90" spans="1:16" ht="18.75" x14ac:dyDescent="0.25">
      <c r="A90" s="167"/>
      <c r="B90" s="168"/>
      <c r="C90" s="168"/>
      <c r="D90" s="173" t="s">
        <v>41</v>
      </c>
      <c r="E90" s="174"/>
      <c r="F90" s="174"/>
      <c r="G90" s="172"/>
      <c r="H90" s="183" t="s">
        <v>32</v>
      </c>
      <c r="I90" s="180">
        <f ca="1">IFERROR(__xludf.DUMMYFUNCTION("IMPORTRANGE(""https://docs.google.com/spreadsheets/d/1kKUcYdkIfrgTSj8iHHHB2MD2FAtwyyocFgqGQn6ADyI/edit?usp=sharing"",""กระบี่!I90"")+IMPORTRANGE(""https://docs.google.com/spreadsheets/d/1GwtLaSlNZkLk7iDqcyZz22giiy40b_usZZBXYciEN1U/edit?usp=sharing"",""ชุม"&amp;"พร!I90"")+IMPORTRANGE(""https://docs.google.com/spreadsheets/d/16pAz3pOhQEZBhvFNMa5KGgZS6iKWpsKX0pg6tQmwFpo/edit?usp=sharing"",""ตรัง!I90"")+IMPORTRANGE(""https://docs.google.com/spreadsheets/d/1Dj4jcHCTV9JXKCaMoheSXS52JE63kDKyG7bPXnFogHk/edit?usp=sharing"&amp;""",""นครศรีธรรมราช!I90"")+IMPORTRANGE(""https://docs.google.com/spreadsheets/d/1iodCdmuK2GR3jzUwk8tpccY2JHQQA-87DLOtJP-ooyU/edit?usp=sharing"",""นราธิวาส!I90"")+IMPORTRANGE(""https://docs.google.com/spreadsheets/d/1SDNX3JhDdYRuIOsj0Wh2M-Qa_eaXl0NbWmhAOTbf"&amp;"QAs/edit?usp=sharing"",""ปัตตานี!I90"")+IMPORTRANGE(""https://docs.google.com/spreadsheets/d/16JDLGguT8s5DsGCND1KcwHP_AWR_zDMTqLHPLJUKhaU/edit?usp=sharing"",""พังงา!I90"")+IMPORTRANGE(""https://docs.google.com/spreadsheets/d/17ht0gPKzzT3PObBL1XJkeRmntBXI7"&amp;"wGjpLV7QorqlTk/edit?usp=sharing"",""พัทลุง!I90"")+IMPORTRANGE(""https://docs.google.com/spreadsheets/d/1rd4qoM1q_hsgaolqNGfrim9gbsoLxQsda4-vOz5x_BM/edit?usp=sharing"",""ภูเก็ต!I90"")+IMPORTRANGE(""https://docs.google.com/spreadsheets/d/1woKwKjgoLssDvPcPeV"&amp;"yezB5izizAn4X1JDrys69n6xI/edit?usp=sharing"",""ยะลา!I90"")+IMPORTRANGE(""https://docs.google.com/spreadsheets/d/1qfrKjzMhm2HJfxQ-qVlJlJQ25Hne1d0khsySbZyGtPA/edit?usp=sharing"",""ระนอง!I90"")+IMPORTRANGE(""https://docs.google.com/spreadsheets/d/1IbSCnFOKpZ"&amp;"snFogBHJnL_isstZVaOMnFiIN0fGTPZZw/edit?usp=sharing"",""สงขลา!I90"")+IMPORTRANGE(""https://docs.google.com/spreadsheets/d/1q9nWasZJ-K8bFGvbE9n0qSRuKGA4Toe3Y89cKCiVtCU/edit?usp=sharing"",""สตูล!I90"")+IMPORTRANGE(""https://docs.google.com/spreadsheets/d/18T"&amp;"20gbkS_WBjdscyTOV05cvq_JqvqQ17C81mpxf7Ncs/edit?usp=sharing"",""สุราษฎร์ธานี!I90"")"),1)</f>
        <v>1</v>
      </c>
      <c r="J90" s="181">
        <f ca="1">IFERROR(__xludf.DUMMYFUNCTION("IMPORTRANGE(""https://docs.google.com/spreadsheets/d/1kKUcYdkIfrgTSj8iHHHB2MD2FAtwyyocFgqGQn6ADyI/edit?usp=sharing"",""กระบี่!J90"")+IMPORTRANGE(""https://docs.google.com/spreadsheets/d/1GwtLaSlNZkLk7iDqcyZz22giiy40b_usZZBXYciEN1U/edit?usp=sharing"",""ชุม"&amp;"พร!J90"")+IMPORTRANGE(""https://docs.google.com/spreadsheets/d/16pAz3pOhQEZBhvFNMa5KGgZS6iKWpsKX0pg6tQmwFpo/edit?usp=sharing"",""ตรัง!J90"")+IMPORTRANGE(""https://docs.google.com/spreadsheets/d/1Dj4jcHCTV9JXKCaMoheSXS52JE63kDKyG7bPXnFogHk/edit?usp=sharing"&amp;""",""นครศรีธรรมราช!J90"")+IMPORTRANGE(""https://docs.google.com/spreadsheets/d/1iodCdmuK2GR3jzUwk8tpccY2JHQQA-87DLOtJP-ooyU/edit?usp=sharing"",""นราธิวาส!J90"")+IMPORTRANGE(""https://docs.google.com/spreadsheets/d/1SDNX3JhDdYRuIOsj0Wh2M-Qa_eaXl0NbWmhAOTbf"&amp;"QAs/edit?usp=sharing"",""ปัตตานี!J90"")+IMPORTRANGE(""https://docs.google.com/spreadsheets/d/16JDLGguT8s5DsGCND1KcwHP_AWR_zDMTqLHPLJUKhaU/edit?usp=sharing"",""พังงา!J90"")+IMPORTRANGE(""https://docs.google.com/spreadsheets/d/17ht0gPKzzT3PObBL1XJkeRmntBXI7"&amp;"wGjpLV7QorqlTk/edit?usp=sharing"",""พัทลุง!J90"")+IMPORTRANGE(""https://docs.google.com/spreadsheets/d/1rd4qoM1q_hsgaolqNGfrim9gbsoLxQsda4-vOz5x_BM/edit?usp=sharing"",""ภูเก็ต!J90"")+IMPORTRANGE(""https://docs.google.com/spreadsheets/d/1woKwKjgoLssDvPcPeV"&amp;"yezB5izizAn4X1JDrys69n6xI/edit?usp=sharing"",""ยะลา!J90"")+IMPORTRANGE(""https://docs.google.com/spreadsheets/d/1qfrKjzMhm2HJfxQ-qVlJlJQ25Hne1d0khsySbZyGtPA/edit?usp=sharing"",""ระนอง!J90"")+IMPORTRANGE(""https://docs.google.com/spreadsheets/d/1IbSCnFOKpZ"&amp;"snFogBHJnL_isstZVaOMnFiIN0fGTPZZw/edit?usp=sharing"",""สงขลา!J90"")+IMPORTRANGE(""https://docs.google.com/spreadsheets/d/1q9nWasZJ-K8bFGvbE9n0qSRuKGA4Toe3Y89cKCiVtCU/edit?usp=sharing"",""สตูล!J90"")+IMPORTRANGE(""https://docs.google.com/spreadsheets/d/18T"&amp;"20gbkS_WBjdscyTOV05cvq_JqvqQ17C81mpxf7Ncs/edit?usp=sharing"",""สุราษฎร์ธานี!J90"")"),0)</f>
        <v>0</v>
      </c>
      <c r="K90" s="182">
        <f t="shared" ca="1" si="41"/>
        <v>0</v>
      </c>
      <c r="L90" s="165"/>
      <c r="M90" s="165"/>
      <c r="N90" s="165"/>
      <c r="O90" s="165"/>
      <c r="P90" s="165"/>
    </row>
    <row r="91" spans="1:16" ht="19.5" x14ac:dyDescent="0.3">
      <c r="A91" s="146" t="s">
        <v>42</v>
      </c>
      <c r="B91" s="147"/>
      <c r="C91" s="148"/>
      <c r="D91" s="147"/>
      <c r="E91" s="147"/>
      <c r="F91" s="147"/>
      <c r="G91" s="149"/>
      <c r="H91" s="149"/>
      <c r="I91" s="150"/>
      <c r="J91" s="150"/>
      <c r="K91" s="151"/>
      <c r="L91" s="151"/>
      <c r="M91" s="151"/>
      <c r="N91" s="151"/>
      <c r="O91" s="151"/>
      <c r="P91" s="151"/>
    </row>
    <row r="92" spans="1:16" ht="19.5" x14ac:dyDescent="0.3">
      <c r="A92" s="152"/>
      <c r="B92" s="153" t="s">
        <v>43</v>
      </c>
      <c r="C92" s="41"/>
      <c r="D92" s="154"/>
      <c r="E92" s="41"/>
      <c r="F92" s="41"/>
      <c r="G92" s="44"/>
      <c r="H92" s="155" t="s">
        <v>44</v>
      </c>
      <c r="I92" s="156">
        <f t="shared" ref="I92:J92" ca="1" si="43">I108</f>
        <v>0</v>
      </c>
      <c r="J92" s="156">
        <f t="shared" ca="1" si="43"/>
        <v>0</v>
      </c>
      <c r="K92" s="48">
        <f t="shared" ref="K92:K93" ca="1" si="44">IF(I92&gt;0,J92*100/I92,0)</f>
        <v>0</v>
      </c>
      <c r="L92" s="47"/>
      <c r="M92" s="47"/>
      <c r="N92" s="47"/>
      <c r="O92" s="47"/>
      <c r="P92" s="47"/>
    </row>
    <row r="93" spans="1:16" ht="19.5" x14ac:dyDescent="0.3">
      <c r="A93" s="152"/>
      <c r="B93" s="41"/>
      <c r="C93" s="41"/>
      <c r="D93" s="154"/>
      <c r="E93" s="41"/>
      <c r="F93" s="41"/>
      <c r="G93" s="44"/>
      <c r="H93" s="155" t="s">
        <v>33</v>
      </c>
      <c r="I93" s="156">
        <f t="shared" ref="I93:J93" ca="1" si="45">I109</f>
        <v>0</v>
      </c>
      <c r="J93" s="156">
        <f t="shared" ca="1" si="45"/>
        <v>0</v>
      </c>
      <c r="K93" s="48">
        <f t="shared" ca="1" si="44"/>
        <v>0</v>
      </c>
      <c r="L93" s="47"/>
      <c r="M93" s="47"/>
      <c r="N93" s="47"/>
      <c r="O93" s="47"/>
      <c r="P93" s="47"/>
    </row>
    <row r="94" spans="1:16" ht="19.5" x14ac:dyDescent="0.3">
      <c r="A94" s="157"/>
      <c r="B94" s="53"/>
      <c r="C94" s="158" t="s">
        <v>16</v>
      </c>
      <c r="D94" s="159" t="s">
        <v>17</v>
      </c>
      <c r="E94" s="53"/>
      <c r="F94" s="53"/>
      <c r="G94" s="55"/>
      <c r="H94" s="160" t="s">
        <v>12</v>
      </c>
      <c r="I94" s="57"/>
      <c r="J94" s="57"/>
      <c r="K94" s="58"/>
      <c r="L94" s="161">
        <f t="shared" ref="L94:N94" ca="1" si="46">L95+L96</f>
        <v>0</v>
      </c>
      <c r="M94" s="161">
        <f t="shared" ca="1" si="46"/>
        <v>0</v>
      </c>
      <c r="N94" s="161">
        <f t="shared" ca="1" si="46"/>
        <v>0</v>
      </c>
      <c r="O94" s="161">
        <f t="shared" ref="O94:O102" ca="1" si="47">IF(L94&gt;0,N94*100/L94,0)</f>
        <v>0</v>
      </c>
      <c r="P94" s="161">
        <f t="shared" ref="P94:P102" ca="1" si="48">IF(M94&gt;0,N94*100/M94,0)</f>
        <v>0</v>
      </c>
    </row>
    <row r="95" spans="1:16" ht="18.75" x14ac:dyDescent="0.25">
      <c r="A95" s="157"/>
      <c r="B95" s="53"/>
      <c r="C95" s="53"/>
      <c r="D95" s="53"/>
      <c r="E95" s="60" t="s">
        <v>18</v>
      </c>
      <c r="F95" s="53"/>
      <c r="G95" s="55"/>
      <c r="H95" s="162" t="s">
        <v>12</v>
      </c>
      <c r="I95" s="57"/>
      <c r="J95" s="57"/>
      <c r="K95" s="58"/>
      <c r="L95" s="59">
        <f t="shared" ref="L95:N95" ca="1" si="49">L98+L101</f>
        <v>0</v>
      </c>
      <c r="M95" s="59">
        <f t="shared" ca="1" si="49"/>
        <v>0</v>
      </c>
      <c r="N95" s="59">
        <f t="shared" ca="1" si="49"/>
        <v>0</v>
      </c>
      <c r="O95" s="59">
        <f t="shared" ca="1" si="47"/>
        <v>0</v>
      </c>
      <c r="P95" s="59">
        <f t="shared" ca="1" si="48"/>
        <v>0</v>
      </c>
    </row>
    <row r="96" spans="1:16" ht="18.75" x14ac:dyDescent="0.25">
      <c r="A96" s="157"/>
      <c r="B96" s="53"/>
      <c r="C96" s="53"/>
      <c r="D96" s="53"/>
      <c r="E96" s="60" t="s">
        <v>19</v>
      </c>
      <c r="F96" s="53"/>
      <c r="G96" s="55"/>
      <c r="H96" s="162" t="s">
        <v>12</v>
      </c>
      <c r="I96" s="57"/>
      <c r="J96" s="57"/>
      <c r="K96" s="58"/>
      <c r="L96" s="59">
        <f t="shared" ref="L96:N96" ca="1" si="50">L99+L102</f>
        <v>0</v>
      </c>
      <c r="M96" s="59">
        <f t="shared" ca="1" si="50"/>
        <v>0</v>
      </c>
      <c r="N96" s="59">
        <f t="shared" ca="1" si="50"/>
        <v>0</v>
      </c>
      <c r="O96" s="59">
        <f t="shared" ca="1" si="47"/>
        <v>0</v>
      </c>
      <c r="P96" s="59">
        <f t="shared" ca="1" si="48"/>
        <v>0</v>
      </c>
    </row>
    <row r="97" spans="1:16" ht="18.75" x14ac:dyDescent="0.25">
      <c r="A97" s="157"/>
      <c r="B97" s="53"/>
      <c r="C97" s="53"/>
      <c r="D97" s="54" t="s">
        <v>20</v>
      </c>
      <c r="E97" s="53"/>
      <c r="F97" s="53"/>
      <c r="G97" s="55"/>
      <c r="H97" s="163" t="s">
        <v>12</v>
      </c>
      <c r="I97" s="164"/>
      <c r="J97" s="164"/>
      <c r="K97" s="165"/>
      <c r="L97" s="59">
        <f t="shared" ref="L97:N97" ca="1" si="51">L98+L99</f>
        <v>0</v>
      </c>
      <c r="M97" s="59">
        <f t="shared" ca="1" si="51"/>
        <v>0</v>
      </c>
      <c r="N97" s="59">
        <f t="shared" ca="1" si="51"/>
        <v>0</v>
      </c>
      <c r="O97" s="59">
        <f t="shared" ca="1" si="47"/>
        <v>0</v>
      </c>
      <c r="P97" s="59">
        <f t="shared" ca="1" si="48"/>
        <v>0</v>
      </c>
    </row>
    <row r="98" spans="1:16" ht="18.75" x14ac:dyDescent="0.25">
      <c r="A98" s="157"/>
      <c r="B98" s="53"/>
      <c r="C98" s="53"/>
      <c r="D98" s="53"/>
      <c r="E98" s="60" t="s">
        <v>34</v>
      </c>
      <c r="F98" s="53"/>
      <c r="G98" s="55"/>
      <c r="H98" s="163" t="s">
        <v>12</v>
      </c>
      <c r="I98" s="164"/>
      <c r="J98" s="164"/>
      <c r="K98" s="165"/>
      <c r="L98" s="59">
        <f ca="1">IFERROR(__xludf.DUMMYFUNCTION("IMPORTRANGE(""https://docs.google.com/spreadsheets/d/1kKUcYdkIfrgTSj8iHHHB2MD2FAtwyyocFgqGQn6ADyI/edit?usp=sharing"",""กระบี่!L98"")+IMPORTRANGE(""https://docs.google.com/spreadsheets/d/1GwtLaSlNZkLk7iDqcyZz22giiy40b_usZZBXYciEN1U/edit?usp=sharing"",""ชุม"&amp;"พร!L98"")+IMPORTRANGE(""https://docs.google.com/spreadsheets/d/16pAz3pOhQEZBhvFNMa5KGgZS6iKWpsKX0pg6tQmwFpo/edit?usp=sharing"",""ตรัง!L98"")+IMPORTRANGE(""https://docs.google.com/spreadsheets/d/1Dj4jcHCTV9JXKCaMoheSXS52JE63kDKyG7bPXnFogHk/edit?usp=sharing"&amp;""",""นครศรีธรรมราช!L98"")+IMPORTRANGE(""https://docs.google.com/spreadsheets/d/1iodCdmuK2GR3jzUwk8tpccY2JHQQA-87DLOtJP-ooyU/edit?usp=sharing"",""นราธิวาส!L98"")+IMPORTRANGE(""https://docs.google.com/spreadsheets/d/1SDNX3JhDdYRuIOsj0Wh2M-Qa_eaXl0NbWmhAOTbf"&amp;"QAs/edit?usp=sharing"",""ปัตตานี!L98"")+IMPORTRANGE(""https://docs.google.com/spreadsheets/d/16JDLGguT8s5DsGCND1KcwHP_AWR_zDMTqLHPLJUKhaU/edit?usp=sharing"",""พังงา!L98"")+IMPORTRANGE(""https://docs.google.com/spreadsheets/d/17ht0gPKzzT3PObBL1XJkeRmntBXI7"&amp;"wGjpLV7QorqlTk/edit?usp=sharing"",""พัทลุง!L98"")+IMPORTRANGE(""https://docs.google.com/spreadsheets/d/1rd4qoM1q_hsgaolqNGfrim9gbsoLxQsda4-vOz5x_BM/edit?usp=sharing"",""ภูเก็ต!L98"")+IMPORTRANGE(""https://docs.google.com/spreadsheets/d/1woKwKjgoLssDvPcPeV"&amp;"yezB5izizAn4X1JDrys69n6xI/edit?usp=sharing"",""ยะลา!L98"")+IMPORTRANGE(""https://docs.google.com/spreadsheets/d/1qfrKjzMhm2HJfxQ-qVlJlJQ25Hne1d0khsySbZyGtPA/edit?usp=sharing"",""ระนอง!L98"")+IMPORTRANGE(""https://docs.google.com/spreadsheets/d/1IbSCnFOKpZ"&amp;"snFogBHJnL_isstZVaOMnFiIN0fGTPZZw/edit?usp=sharing"",""สงขลา!L98"")+IMPORTRANGE(""https://docs.google.com/spreadsheets/d/1q9nWasZJ-K8bFGvbE9n0qSRuKGA4Toe3Y89cKCiVtCU/edit?usp=sharing"",""สตูล!L98"")+IMPORTRANGE(""https://docs.google.com/spreadsheets/d/18T"&amp;"20gbkS_WBjdscyTOV05cvq_JqvqQ17C81mpxf7Ncs/edit?usp=sharing"",""สุราษฎร์ธานี!L98"")"),0)</f>
        <v>0</v>
      </c>
      <c r="M98" s="59">
        <f ca="1">IFERROR(__xludf.DUMMYFUNCTION("IMPORTRANGE(""https://docs.google.com/spreadsheets/d/1kKUcYdkIfrgTSj8iHHHB2MD2FAtwyyocFgqGQn6ADyI/edit?usp=sharing"",""กระบี่!M98"")+IMPORTRANGE(""https://docs.google.com/spreadsheets/d/1GwtLaSlNZkLk7iDqcyZz22giiy40b_usZZBXYciEN1U/edit?usp=sharing"",""ชุม"&amp;"พร!M98"")+IMPORTRANGE(""https://docs.google.com/spreadsheets/d/16pAz3pOhQEZBhvFNMa5KGgZS6iKWpsKX0pg6tQmwFpo/edit?usp=sharing"",""ตรัง!M98"")+IMPORTRANGE(""https://docs.google.com/spreadsheets/d/1Dj4jcHCTV9JXKCaMoheSXS52JE63kDKyG7bPXnFogHk/edit?usp=sharing"&amp;""",""นครศรีธรรมราช!M98"")+IMPORTRANGE(""https://docs.google.com/spreadsheets/d/1iodCdmuK2GR3jzUwk8tpccY2JHQQA-87DLOtJP-ooyU/edit?usp=sharing"",""นราธิวาส!M98"")+IMPORTRANGE(""https://docs.google.com/spreadsheets/d/1SDNX3JhDdYRuIOsj0Wh2M-Qa_eaXl0NbWmhAOTbf"&amp;"QAs/edit?usp=sharing"",""ปัตตานี!M98"")+IMPORTRANGE(""https://docs.google.com/spreadsheets/d/16JDLGguT8s5DsGCND1KcwHP_AWR_zDMTqLHPLJUKhaU/edit?usp=sharing"",""พังงา!M98"")+IMPORTRANGE(""https://docs.google.com/spreadsheets/d/17ht0gPKzzT3PObBL1XJkeRmntBXI7"&amp;"wGjpLV7QorqlTk/edit?usp=sharing"",""พัทลุง!M98"")+IMPORTRANGE(""https://docs.google.com/spreadsheets/d/1rd4qoM1q_hsgaolqNGfrim9gbsoLxQsda4-vOz5x_BM/edit?usp=sharing"",""ภูเก็ต!M98"")+IMPORTRANGE(""https://docs.google.com/spreadsheets/d/1woKwKjgoLssDvPcPeV"&amp;"yezB5izizAn4X1JDrys69n6xI/edit?usp=sharing"",""ยะลา!M98"")+IMPORTRANGE(""https://docs.google.com/spreadsheets/d/1qfrKjzMhm2HJfxQ-qVlJlJQ25Hne1d0khsySbZyGtPA/edit?usp=sharing"",""ระนอง!M98"")+IMPORTRANGE(""https://docs.google.com/spreadsheets/d/1IbSCnFOKpZ"&amp;"snFogBHJnL_isstZVaOMnFiIN0fGTPZZw/edit?usp=sharing"",""สงขลา!M98"")+IMPORTRANGE(""https://docs.google.com/spreadsheets/d/1q9nWasZJ-K8bFGvbE9n0qSRuKGA4Toe3Y89cKCiVtCU/edit?usp=sharing"",""สตูล!M98"")+IMPORTRANGE(""https://docs.google.com/spreadsheets/d/18T"&amp;"20gbkS_WBjdscyTOV05cvq_JqvqQ17C81mpxf7Ncs/edit?usp=sharing"",""สุราษฎร์ธานี!M98"")"),0)</f>
        <v>0</v>
      </c>
      <c r="N98" s="59">
        <f ca="1">IFERROR(__xludf.DUMMYFUNCTION("IMPORTRANGE(""https://docs.google.com/spreadsheets/d/1kKUcYdkIfrgTSj8iHHHB2MD2FAtwyyocFgqGQn6ADyI/edit?usp=sharing"",""กระบี่!N98"")+IMPORTRANGE(""https://docs.google.com/spreadsheets/d/1GwtLaSlNZkLk7iDqcyZz22giiy40b_usZZBXYciEN1U/edit?usp=sharing"",""ชุม"&amp;"พร!N98"")+IMPORTRANGE(""https://docs.google.com/spreadsheets/d/16pAz3pOhQEZBhvFNMa5KGgZS6iKWpsKX0pg6tQmwFpo/edit?usp=sharing"",""ตรัง!N98"")+IMPORTRANGE(""https://docs.google.com/spreadsheets/d/1Dj4jcHCTV9JXKCaMoheSXS52JE63kDKyG7bPXnFogHk/edit?usp=sharing"&amp;""",""นครศรีธรรมราช!N98"")+IMPORTRANGE(""https://docs.google.com/spreadsheets/d/1iodCdmuK2GR3jzUwk8tpccY2JHQQA-87DLOtJP-ooyU/edit?usp=sharing"",""นราธิวาส!N98"")+IMPORTRANGE(""https://docs.google.com/spreadsheets/d/1SDNX3JhDdYRuIOsj0Wh2M-Qa_eaXl0NbWmhAOTbf"&amp;"QAs/edit?usp=sharing"",""ปัตตานี!N98"")+IMPORTRANGE(""https://docs.google.com/spreadsheets/d/16JDLGguT8s5DsGCND1KcwHP_AWR_zDMTqLHPLJUKhaU/edit?usp=sharing"",""พังงา!N98"")+IMPORTRANGE(""https://docs.google.com/spreadsheets/d/17ht0gPKzzT3PObBL1XJkeRmntBXI7"&amp;"wGjpLV7QorqlTk/edit?usp=sharing"",""พัทลุง!N98"")+IMPORTRANGE(""https://docs.google.com/spreadsheets/d/1rd4qoM1q_hsgaolqNGfrim9gbsoLxQsda4-vOz5x_BM/edit?usp=sharing"",""ภูเก็ต!N98"")+IMPORTRANGE(""https://docs.google.com/spreadsheets/d/1woKwKjgoLssDvPcPeV"&amp;"yezB5izizAn4X1JDrys69n6xI/edit?usp=sharing"",""ยะลา!N98"")+IMPORTRANGE(""https://docs.google.com/spreadsheets/d/1qfrKjzMhm2HJfxQ-qVlJlJQ25Hne1d0khsySbZyGtPA/edit?usp=sharing"",""ระนอง!N98"")+IMPORTRANGE(""https://docs.google.com/spreadsheets/d/1IbSCnFOKpZ"&amp;"snFogBHJnL_isstZVaOMnFiIN0fGTPZZw/edit?usp=sharing"",""สงขลา!N98"")+IMPORTRANGE(""https://docs.google.com/spreadsheets/d/1q9nWasZJ-K8bFGvbE9n0qSRuKGA4Toe3Y89cKCiVtCU/edit?usp=sharing"",""สตูล!N98"")+IMPORTRANGE(""https://docs.google.com/spreadsheets/d/18T"&amp;"20gbkS_WBjdscyTOV05cvq_JqvqQ17C81mpxf7Ncs/edit?usp=sharing"",""สุราษฎร์ธานี!N98"")"),0)</f>
        <v>0</v>
      </c>
      <c r="O98" s="59">
        <f t="shared" ca="1" si="47"/>
        <v>0</v>
      </c>
      <c r="P98" s="59">
        <f t="shared" ca="1" si="48"/>
        <v>0</v>
      </c>
    </row>
    <row r="99" spans="1:16" ht="18.75" x14ac:dyDescent="0.25">
      <c r="A99" s="157"/>
      <c r="B99" s="53"/>
      <c r="C99" s="53"/>
      <c r="D99" s="53"/>
      <c r="E99" s="60" t="s">
        <v>35</v>
      </c>
      <c r="F99" s="53"/>
      <c r="G99" s="55"/>
      <c r="H99" s="163" t="s">
        <v>12</v>
      </c>
      <c r="I99" s="164"/>
      <c r="J99" s="164"/>
      <c r="K99" s="165"/>
      <c r="L99" s="59">
        <f ca="1">IFERROR(__xludf.DUMMYFUNCTION("IMPORTRANGE(""https://docs.google.com/spreadsheets/d/1kKUcYdkIfrgTSj8iHHHB2MD2FAtwyyocFgqGQn6ADyI/edit?usp=sharing"",""กระบี่!L99"")+IMPORTRANGE(""https://docs.google.com/spreadsheets/d/1GwtLaSlNZkLk7iDqcyZz22giiy40b_usZZBXYciEN1U/edit?usp=sharing"",""ชุม"&amp;"พร!L99"")+IMPORTRANGE(""https://docs.google.com/spreadsheets/d/16pAz3pOhQEZBhvFNMa5KGgZS6iKWpsKX0pg6tQmwFpo/edit?usp=sharing"",""ตรัง!L99"")+IMPORTRANGE(""https://docs.google.com/spreadsheets/d/1Dj4jcHCTV9JXKCaMoheSXS52JE63kDKyG7bPXnFogHk/edit?usp=sharing"&amp;""",""นครศรีธรรมราช!L99"")+IMPORTRANGE(""https://docs.google.com/spreadsheets/d/1iodCdmuK2GR3jzUwk8tpccY2JHQQA-87DLOtJP-ooyU/edit?usp=sharing"",""นราธิวาส!L99"")+IMPORTRANGE(""https://docs.google.com/spreadsheets/d/1SDNX3JhDdYRuIOsj0Wh2M-Qa_eaXl0NbWmhAOTbf"&amp;"QAs/edit?usp=sharing"",""ปัตตานี!L99"")+IMPORTRANGE(""https://docs.google.com/spreadsheets/d/16JDLGguT8s5DsGCND1KcwHP_AWR_zDMTqLHPLJUKhaU/edit?usp=sharing"",""พังงา!L99"")+IMPORTRANGE(""https://docs.google.com/spreadsheets/d/17ht0gPKzzT3PObBL1XJkeRmntBXI7"&amp;"wGjpLV7QorqlTk/edit?usp=sharing"",""พัทลุง!L99"")+IMPORTRANGE(""https://docs.google.com/spreadsheets/d/1rd4qoM1q_hsgaolqNGfrim9gbsoLxQsda4-vOz5x_BM/edit?usp=sharing"",""ภูเก็ต!L99"")+IMPORTRANGE(""https://docs.google.com/spreadsheets/d/1woKwKjgoLssDvPcPeV"&amp;"yezB5izizAn4X1JDrys69n6xI/edit?usp=sharing"",""ยะลา!L99"")+IMPORTRANGE(""https://docs.google.com/spreadsheets/d/1qfrKjzMhm2HJfxQ-qVlJlJQ25Hne1d0khsySbZyGtPA/edit?usp=sharing"",""ระนอง!L99"")+IMPORTRANGE(""https://docs.google.com/spreadsheets/d/1IbSCnFOKpZ"&amp;"snFogBHJnL_isstZVaOMnFiIN0fGTPZZw/edit?usp=sharing"",""สงขลา!L99"")+IMPORTRANGE(""https://docs.google.com/spreadsheets/d/1q9nWasZJ-K8bFGvbE9n0qSRuKGA4Toe3Y89cKCiVtCU/edit?usp=sharing"",""สตูล!L99"")+IMPORTRANGE(""https://docs.google.com/spreadsheets/d/18T"&amp;"20gbkS_WBjdscyTOV05cvq_JqvqQ17C81mpxf7Ncs/edit?usp=sharing"",""สุราษฎร์ธานี!L99"")"),0)</f>
        <v>0</v>
      </c>
      <c r="M99" s="59">
        <f ca="1">IFERROR(__xludf.DUMMYFUNCTION("IMPORTRANGE(""https://docs.google.com/spreadsheets/d/1kKUcYdkIfrgTSj8iHHHB2MD2FAtwyyocFgqGQn6ADyI/edit?usp=sharing"",""กระบี่!M99"")+IMPORTRANGE(""https://docs.google.com/spreadsheets/d/1GwtLaSlNZkLk7iDqcyZz22giiy40b_usZZBXYciEN1U/edit?usp=sharing"",""ชุม"&amp;"พร!M99"")+IMPORTRANGE(""https://docs.google.com/spreadsheets/d/16pAz3pOhQEZBhvFNMa5KGgZS6iKWpsKX0pg6tQmwFpo/edit?usp=sharing"",""ตรัง!M99"")+IMPORTRANGE(""https://docs.google.com/spreadsheets/d/1Dj4jcHCTV9JXKCaMoheSXS52JE63kDKyG7bPXnFogHk/edit?usp=sharing"&amp;""",""นครศรีธรรมราช!M99"")+IMPORTRANGE(""https://docs.google.com/spreadsheets/d/1iodCdmuK2GR3jzUwk8tpccY2JHQQA-87DLOtJP-ooyU/edit?usp=sharing"",""นราธิวาส!M99"")+IMPORTRANGE(""https://docs.google.com/spreadsheets/d/1SDNX3JhDdYRuIOsj0Wh2M-Qa_eaXl0NbWmhAOTbf"&amp;"QAs/edit?usp=sharing"",""ปัตตานี!M99"")+IMPORTRANGE(""https://docs.google.com/spreadsheets/d/16JDLGguT8s5DsGCND1KcwHP_AWR_zDMTqLHPLJUKhaU/edit?usp=sharing"",""พังงา!M99"")+IMPORTRANGE(""https://docs.google.com/spreadsheets/d/17ht0gPKzzT3PObBL1XJkeRmntBXI7"&amp;"wGjpLV7QorqlTk/edit?usp=sharing"",""พัทลุง!M99"")+IMPORTRANGE(""https://docs.google.com/spreadsheets/d/1rd4qoM1q_hsgaolqNGfrim9gbsoLxQsda4-vOz5x_BM/edit?usp=sharing"",""ภูเก็ต!M99"")+IMPORTRANGE(""https://docs.google.com/spreadsheets/d/1woKwKjgoLssDvPcPeV"&amp;"yezB5izizAn4X1JDrys69n6xI/edit?usp=sharing"",""ยะลา!M99"")+IMPORTRANGE(""https://docs.google.com/spreadsheets/d/1qfrKjzMhm2HJfxQ-qVlJlJQ25Hne1d0khsySbZyGtPA/edit?usp=sharing"",""ระนอง!M99"")+IMPORTRANGE(""https://docs.google.com/spreadsheets/d/1IbSCnFOKpZ"&amp;"snFogBHJnL_isstZVaOMnFiIN0fGTPZZw/edit?usp=sharing"",""สงขลา!M99"")+IMPORTRANGE(""https://docs.google.com/spreadsheets/d/1q9nWasZJ-K8bFGvbE9n0qSRuKGA4Toe3Y89cKCiVtCU/edit?usp=sharing"",""สตูล!M99"")+IMPORTRANGE(""https://docs.google.com/spreadsheets/d/18T"&amp;"20gbkS_WBjdscyTOV05cvq_JqvqQ17C81mpxf7Ncs/edit?usp=sharing"",""สุราษฎร์ธานี!M99"")"),0)</f>
        <v>0</v>
      </c>
      <c r="N99" s="59">
        <f ca="1">IFERROR(__xludf.DUMMYFUNCTION("IMPORTRANGE(""https://docs.google.com/spreadsheets/d/1kKUcYdkIfrgTSj8iHHHB2MD2FAtwyyocFgqGQn6ADyI/edit?usp=sharing"",""กระบี่!N99"")+IMPORTRANGE(""https://docs.google.com/spreadsheets/d/1GwtLaSlNZkLk7iDqcyZz22giiy40b_usZZBXYciEN1U/edit?usp=sharing"",""ชุม"&amp;"พร!N99"")+IMPORTRANGE(""https://docs.google.com/spreadsheets/d/16pAz3pOhQEZBhvFNMa5KGgZS6iKWpsKX0pg6tQmwFpo/edit?usp=sharing"",""ตรัง!N99"")+IMPORTRANGE(""https://docs.google.com/spreadsheets/d/1Dj4jcHCTV9JXKCaMoheSXS52JE63kDKyG7bPXnFogHk/edit?usp=sharing"&amp;""",""นครศรีธรรมราช!N99"")+IMPORTRANGE(""https://docs.google.com/spreadsheets/d/1iodCdmuK2GR3jzUwk8tpccY2JHQQA-87DLOtJP-ooyU/edit?usp=sharing"",""นราธิวาส!N99"")+IMPORTRANGE(""https://docs.google.com/spreadsheets/d/1SDNX3JhDdYRuIOsj0Wh2M-Qa_eaXl0NbWmhAOTbf"&amp;"QAs/edit?usp=sharing"",""ปัตตานี!N99"")+IMPORTRANGE(""https://docs.google.com/spreadsheets/d/16JDLGguT8s5DsGCND1KcwHP_AWR_zDMTqLHPLJUKhaU/edit?usp=sharing"",""พังงา!N99"")+IMPORTRANGE(""https://docs.google.com/spreadsheets/d/17ht0gPKzzT3PObBL1XJkeRmntBXI7"&amp;"wGjpLV7QorqlTk/edit?usp=sharing"",""พัทลุง!N99"")+IMPORTRANGE(""https://docs.google.com/spreadsheets/d/1rd4qoM1q_hsgaolqNGfrim9gbsoLxQsda4-vOz5x_BM/edit?usp=sharing"",""ภูเก็ต!N99"")+IMPORTRANGE(""https://docs.google.com/spreadsheets/d/1woKwKjgoLssDvPcPeV"&amp;"yezB5izizAn4X1JDrys69n6xI/edit?usp=sharing"",""ยะลา!N99"")+IMPORTRANGE(""https://docs.google.com/spreadsheets/d/1qfrKjzMhm2HJfxQ-qVlJlJQ25Hne1d0khsySbZyGtPA/edit?usp=sharing"",""ระนอง!N99"")+IMPORTRANGE(""https://docs.google.com/spreadsheets/d/1IbSCnFOKpZ"&amp;"snFogBHJnL_isstZVaOMnFiIN0fGTPZZw/edit?usp=sharing"",""สงขลา!N99"")+IMPORTRANGE(""https://docs.google.com/spreadsheets/d/1q9nWasZJ-K8bFGvbE9n0qSRuKGA4Toe3Y89cKCiVtCU/edit?usp=sharing"",""สตูล!N99"")+IMPORTRANGE(""https://docs.google.com/spreadsheets/d/18T"&amp;"20gbkS_WBjdscyTOV05cvq_JqvqQ17C81mpxf7Ncs/edit?usp=sharing"",""สุราษฎร์ธานี!N99"")"),0)</f>
        <v>0</v>
      </c>
      <c r="O99" s="59">
        <f t="shared" ca="1" si="47"/>
        <v>0</v>
      </c>
      <c r="P99" s="59">
        <f t="shared" ca="1" si="48"/>
        <v>0</v>
      </c>
    </row>
    <row r="100" spans="1:16" ht="18.75" x14ac:dyDescent="0.25">
      <c r="A100" s="157"/>
      <c r="B100" s="53"/>
      <c r="C100" s="53"/>
      <c r="D100" s="54" t="s">
        <v>21</v>
      </c>
      <c r="E100" s="53"/>
      <c r="F100" s="53"/>
      <c r="G100" s="55"/>
      <c r="H100" s="166" t="s">
        <v>12</v>
      </c>
      <c r="I100" s="164"/>
      <c r="J100" s="164"/>
      <c r="K100" s="165"/>
      <c r="L100" s="59">
        <f t="shared" ref="L100:N100" ca="1" si="52">L101+L102</f>
        <v>0</v>
      </c>
      <c r="M100" s="59">
        <f t="shared" ca="1" si="52"/>
        <v>0</v>
      </c>
      <c r="N100" s="59">
        <f t="shared" ca="1" si="52"/>
        <v>0</v>
      </c>
      <c r="O100" s="59">
        <f t="shared" ca="1" si="47"/>
        <v>0</v>
      </c>
      <c r="P100" s="59">
        <f t="shared" ca="1" si="48"/>
        <v>0</v>
      </c>
    </row>
    <row r="101" spans="1:16" ht="18.75" x14ac:dyDescent="0.25">
      <c r="A101" s="157"/>
      <c r="B101" s="53"/>
      <c r="C101" s="53"/>
      <c r="D101" s="53"/>
      <c r="E101" s="60" t="s">
        <v>18</v>
      </c>
      <c r="F101" s="53"/>
      <c r="G101" s="55"/>
      <c r="H101" s="163" t="s">
        <v>12</v>
      </c>
      <c r="I101" s="164"/>
      <c r="J101" s="164"/>
      <c r="K101" s="165"/>
      <c r="L101" s="59">
        <f ca="1">IFERROR(__xludf.DUMMYFUNCTION("IMPORTRANGE(""https://docs.google.com/spreadsheets/d/1kKUcYdkIfrgTSj8iHHHB2MD2FAtwyyocFgqGQn6ADyI/edit?usp=sharing"",""กระบี่!L101"")+IMPORTRANGE(""https://docs.google.com/spreadsheets/d/1GwtLaSlNZkLk7iDqcyZz22giiy40b_usZZBXYciEN1U/edit?usp=sharing"",""ชุ"&amp;"มพร!L101"")+IMPORTRANGE(""https://docs.google.com/spreadsheets/d/16pAz3pOhQEZBhvFNMa5KGgZS6iKWpsKX0pg6tQmwFpo/edit?usp=sharing"",""ตรัง!L101"")+IMPORTRANGE(""https://docs.google.com/spreadsheets/d/1Dj4jcHCTV9JXKCaMoheSXS52JE63kDKyG7bPXnFogHk/edit?usp=shar"&amp;"ing"",""นครศรีธรรมราช!L101"")+IMPORTRANGE(""https://docs.google.com/spreadsheets/d/1iodCdmuK2GR3jzUwk8tpccY2JHQQA-87DLOtJP-ooyU/edit?usp=sharing"",""นราธิวาส!L101"")+IMPORTRANGE(""https://docs.google.com/spreadsheets/d/1SDNX3JhDdYRuIOsj0Wh2M-Qa_eaXl0NbWmh"&amp;"AOTbfQAs/edit?usp=sharing"",""ปัตตานี!L101"")+IMPORTRANGE(""https://docs.google.com/spreadsheets/d/16JDLGguT8s5DsGCND1KcwHP_AWR_zDMTqLHPLJUKhaU/edit?usp=sharing"",""พังงา!L101"")+IMPORTRANGE(""https://docs.google.com/spreadsheets/d/17ht0gPKzzT3PObBL1XJkeR"&amp;"mntBXI7wGjpLV7QorqlTk/edit?usp=sharing"",""พัทลุง!L101"")+IMPORTRANGE(""https://docs.google.com/spreadsheets/d/1rd4qoM1q_hsgaolqNGfrim9gbsoLxQsda4-vOz5x_BM/edit?usp=sharing"",""ภูเก็ต!L101"")+IMPORTRANGE(""https://docs.google.com/spreadsheets/d/1woKwKjgoL"&amp;"ssDvPcPeVyezB5izizAn4X1JDrys69n6xI/edit?usp=sharing"",""ยะลา!L101"")+IMPORTRANGE(""https://docs.google.com/spreadsheets/d/1qfrKjzMhm2HJfxQ-qVlJlJQ25Hne1d0khsySbZyGtPA/edit?usp=sharing"",""ระนอง!L101"")+IMPORTRANGE(""https://docs.google.com/spreadsheets/d/"&amp;"1IbSCnFOKpZsnFogBHJnL_isstZVaOMnFiIN0fGTPZZw/edit?usp=sharing"",""สงขลา!L101"")+IMPORTRANGE(""https://docs.google.com/spreadsheets/d/1q9nWasZJ-K8bFGvbE9n0qSRuKGA4Toe3Y89cKCiVtCU/edit?usp=sharing"",""สตูล!L101"")+IMPORTRANGE(""https://docs.google.com/sprea"&amp;"dsheets/d/18T20gbkS_WBjdscyTOV05cvq_JqvqQ17C81mpxf7Ncs/edit?usp=sharing"",""สุราษฎร์ธานี!L101"")"),0)</f>
        <v>0</v>
      </c>
      <c r="M101" s="59">
        <f ca="1">IFERROR(__xludf.DUMMYFUNCTION("IMPORTRANGE(""https://docs.google.com/spreadsheets/d/1kKUcYdkIfrgTSj8iHHHB2MD2FAtwyyocFgqGQn6ADyI/edit?usp=sharing"",""กระบี่!M101"")+IMPORTRANGE(""https://docs.google.com/spreadsheets/d/1GwtLaSlNZkLk7iDqcyZz22giiy40b_usZZBXYciEN1U/edit?usp=sharing"",""ชุ"&amp;"มพร!M101"")+IMPORTRANGE(""https://docs.google.com/spreadsheets/d/16pAz3pOhQEZBhvFNMa5KGgZS6iKWpsKX0pg6tQmwFpo/edit?usp=sharing"",""ตรัง!M101"")+IMPORTRANGE(""https://docs.google.com/spreadsheets/d/1Dj4jcHCTV9JXKCaMoheSXS52JE63kDKyG7bPXnFogHk/edit?usp=shar"&amp;"ing"",""นครศรีธรรมราช!M101"")+IMPORTRANGE(""https://docs.google.com/spreadsheets/d/1iodCdmuK2GR3jzUwk8tpccY2JHQQA-87DLOtJP-ooyU/edit?usp=sharing"",""นราธิวาส!M101"")+IMPORTRANGE(""https://docs.google.com/spreadsheets/d/1SDNX3JhDdYRuIOsj0Wh2M-Qa_eaXl0NbWmh"&amp;"AOTbfQAs/edit?usp=sharing"",""ปัตตานี!M101"")+IMPORTRANGE(""https://docs.google.com/spreadsheets/d/16JDLGguT8s5DsGCND1KcwHP_AWR_zDMTqLHPLJUKhaU/edit?usp=sharing"",""พังงา!M101"")+IMPORTRANGE(""https://docs.google.com/spreadsheets/d/17ht0gPKzzT3PObBL1XJkeR"&amp;"mntBXI7wGjpLV7QorqlTk/edit?usp=sharing"",""พัทลุง!M101"")+IMPORTRANGE(""https://docs.google.com/spreadsheets/d/1rd4qoM1q_hsgaolqNGfrim9gbsoLxQsda4-vOz5x_BM/edit?usp=sharing"",""ภูเก็ต!M101"")+IMPORTRANGE(""https://docs.google.com/spreadsheets/d/1woKwKjgoL"&amp;"ssDvPcPeVyezB5izizAn4X1JDrys69n6xI/edit?usp=sharing"",""ยะลา!M101"")+IMPORTRANGE(""https://docs.google.com/spreadsheets/d/1qfrKjzMhm2HJfxQ-qVlJlJQ25Hne1d0khsySbZyGtPA/edit?usp=sharing"",""ระนอง!M101"")+IMPORTRANGE(""https://docs.google.com/spreadsheets/d/"&amp;"1IbSCnFOKpZsnFogBHJnL_isstZVaOMnFiIN0fGTPZZw/edit?usp=sharing"",""สงขลา!M101"")+IMPORTRANGE(""https://docs.google.com/spreadsheets/d/1q9nWasZJ-K8bFGvbE9n0qSRuKGA4Toe3Y89cKCiVtCU/edit?usp=sharing"",""สตูล!M101"")+IMPORTRANGE(""https://docs.google.com/sprea"&amp;"dsheets/d/18T20gbkS_WBjdscyTOV05cvq_JqvqQ17C81mpxf7Ncs/edit?usp=sharing"",""สุราษฎร์ธานี!M101"")"),0)</f>
        <v>0</v>
      </c>
      <c r="N101" s="59">
        <f ca="1">IFERROR(__xludf.DUMMYFUNCTION("IMPORTRANGE(""https://docs.google.com/spreadsheets/d/1kKUcYdkIfrgTSj8iHHHB2MD2FAtwyyocFgqGQn6ADyI/edit?usp=sharing"",""กระบี่!N101"")+IMPORTRANGE(""https://docs.google.com/spreadsheets/d/1GwtLaSlNZkLk7iDqcyZz22giiy40b_usZZBXYciEN1U/edit?usp=sharing"",""ชุ"&amp;"มพร!N101"")+IMPORTRANGE(""https://docs.google.com/spreadsheets/d/16pAz3pOhQEZBhvFNMa5KGgZS6iKWpsKX0pg6tQmwFpo/edit?usp=sharing"",""ตรัง!N101"")+IMPORTRANGE(""https://docs.google.com/spreadsheets/d/1Dj4jcHCTV9JXKCaMoheSXS52JE63kDKyG7bPXnFogHk/edit?usp=shar"&amp;"ing"",""นครศรีธรรมราช!N101"")+IMPORTRANGE(""https://docs.google.com/spreadsheets/d/1iodCdmuK2GR3jzUwk8tpccY2JHQQA-87DLOtJP-ooyU/edit?usp=sharing"",""นราธิวาส!N101"")+IMPORTRANGE(""https://docs.google.com/spreadsheets/d/1SDNX3JhDdYRuIOsj0Wh2M-Qa_eaXl0NbWmh"&amp;"AOTbfQAs/edit?usp=sharing"",""ปัตตานี!N101"")+IMPORTRANGE(""https://docs.google.com/spreadsheets/d/16JDLGguT8s5DsGCND1KcwHP_AWR_zDMTqLHPLJUKhaU/edit?usp=sharing"",""พังงา!N101"")+IMPORTRANGE(""https://docs.google.com/spreadsheets/d/17ht0gPKzzT3PObBL1XJkeR"&amp;"mntBXI7wGjpLV7QorqlTk/edit?usp=sharing"",""พัทลุง!N101"")+IMPORTRANGE(""https://docs.google.com/spreadsheets/d/1rd4qoM1q_hsgaolqNGfrim9gbsoLxQsda4-vOz5x_BM/edit?usp=sharing"",""ภูเก็ต!N101"")+IMPORTRANGE(""https://docs.google.com/spreadsheets/d/1woKwKjgoL"&amp;"ssDvPcPeVyezB5izizAn4X1JDrys69n6xI/edit?usp=sharing"",""ยะลา!N101"")+IMPORTRANGE(""https://docs.google.com/spreadsheets/d/1qfrKjzMhm2HJfxQ-qVlJlJQ25Hne1d0khsySbZyGtPA/edit?usp=sharing"",""ระนอง!N101"")+IMPORTRANGE(""https://docs.google.com/spreadsheets/d/"&amp;"1IbSCnFOKpZsnFogBHJnL_isstZVaOMnFiIN0fGTPZZw/edit?usp=sharing"",""สงขลา!N101"")+IMPORTRANGE(""https://docs.google.com/spreadsheets/d/1q9nWasZJ-K8bFGvbE9n0qSRuKGA4Toe3Y89cKCiVtCU/edit?usp=sharing"",""สตูล!N101"")+IMPORTRANGE(""https://docs.google.com/sprea"&amp;"dsheets/d/18T20gbkS_WBjdscyTOV05cvq_JqvqQ17C81mpxf7Ncs/edit?usp=sharing"",""สุราษฎร์ธานี!N101"")"),0)</f>
        <v>0</v>
      </c>
      <c r="O101" s="59">
        <f t="shared" ca="1" si="47"/>
        <v>0</v>
      </c>
      <c r="P101" s="59">
        <f t="shared" ca="1" si="48"/>
        <v>0</v>
      </c>
    </row>
    <row r="102" spans="1:16" ht="18.75" x14ac:dyDescent="0.25">
      <c r="A102" s="157"/>
      <c r="B102" s="53"/>
      <c r="C102" s="53"/>
      <c r="D102" s="53"/>
      <c r="E102" s="60" t="s">
        <v>19</v>
      </c>
      <c r="F102" s="53"/>
      <c r="G102" s="55"/>
      <c r="H102" s="166" t="s">
        <v>12</v>
      </c>
      <c r="I102" s="164"/>
      <c r="J102" s="164"/>
      <c r="K102" s="165"/>
      <c r="L102" s="59">
        <f ca="1">IFERROR(__xludf.DUMMYFUNCTION("IMPORTRANGE(""https://docs.google.com/spreadsheets/d/1kKUcYdkIfrgTSj8iHHHB2MD2FAtwyyocFgqGQn6ADyI/edit?usp=sharing"",""กระบี่!L102"")+IMPORTRANGE(""https://docs.google.com/spreadsheets/d/1GwtLaSlNZkLk7iDqcyZz22giiy40b_usZZBXYciEN1U/edit?usp=sharing"",""ชุ"&amp;"มพร!L102"")+IMPORTRANGE(""https://docs.google.com/spreadsheets/d/16pAz3pOhQEZBhvFNMa5KGgZS6iKWpsKX0pg6tQmwFpo/edit?usp=sharing"",""ตรัง!L102"")+IMPORTRANGE(""https://docs.google.com/spreadsheets/d/1Dj4jcHCTV9JXKCaMoheSXS52JE63kDKyG7bPXnFogHk/edit?usp=shar"&amp;"ing"",""นครศรีธรรมราช!L102"")+IMPORTRANGE(""https://docs.google.com/spreadsheets/d/1iodCdmuK2GR3jzUwk8tpccY2JHQQA-87DLOtJP-ooyU/edit?usp=sharing"",""นราธิวาส!L102"")+IMPORTRANGE(""https://docs.google.com/spreadsheets/d/1SDNX3JhDdYRuIOsj0Wh2M-Qa_eaXl0NbWmh"&amp;"AOTbfQAs/edit?usp=sharing"",""ปัตตานี!L102"")+IMPORTRANGE(""https://docs.google.com/spreadsheets/d/16JDLGguT8s5DsGCND1KcwHP_AWR_zDMTqLHPLJUKhaU/edit?usp=sharing"",""พังงา!L102"")+IMPORTRANGE(""https://docs.google.com/spreadsheets/d/17ht0gPKzzT3PObBL1XJkeR"&amp;"mntBXI7wGjpLV7QorqlTk/edit?usp=sharing"",""พัทลุง!L102"")+IMPORTRANGE(""https://docs.google.com/spreadsheets/d/1rd4qoM1q_hsgaolqNGfrim9gbsoLxQsda4-vOz5x_BM/edit?usp=sharing"",""ภูเก็ต!L102"")+IMPORTRANGE(""https://docs.google.com/spreadsheets/d/1woKwKjgoL"&amp;"ssDvPcPeVyezB5izizAn4X1JDrys69n6xI/edit?usp=sharing"",""ยะลา!L102"")+IMPORTRANGE(""https://docs.google.com/spreadsheets/d/1qfrKjzMhm2HJfxQ-qVlJlJQ25Hne1d0khsySbZyGtPA/edit?usp=sharing"",""ระนอง!L102"")+IMPORTRANGE(""https://docs.google.com/spreadsheets/d/"&amp;"1IbSCnFOKpZsnFogBHJnL_isstZVaOMnFiIN0fGTPZZw/edit?usp=sharing"",""สงขลา!L102"")+IMPORTRANGE(""https://docs.google.com/spreadsheets/d/1q9nWasZJ-K8bFGvbE9n0qSRuKGA4Toe3Y89cKCiVtCU/edit?usp=sharing"",""สตูล!L102"")+IMPORTRANGE(""https://docs.google.com/sprea"&amp;"dsheets/d/18T20gbkS_WBjdscyTOV05cvq_JqvqQ17C81mpxf7Ncs/edit?usp=sharing"",""สุราษฎร์ธานี!L102"")"),0)</f>
        <v>0</v>
      </c>
      <c r="M102" s="59">
        <f ca="1">IFERROR(__xludf.DUMMYFUNCTION("IMPORTRANGE(""https://docs.google.com/spreadsheets/d/1kKUcYdkIfrgTSj8iHHHB2MD2FAtwyyocFgqGQn6ADyI/edit?usp=sharing"",""กระบี่!M102"")+IMPORTRANGE(""https://docs.google.com/spreadsheets/d/1GwtLaSlNZkLk7iDqcyZz22giiy40b_usZZBXYciEN1U/edit?usp=sharing"",""ชุ"&amp;"มพร!M102"")+IMPORTRANGE(""https://docs.google.com/spreadsheets/d/16pAz3pOhQEZBhvFNMa5KGgZS6iKWpsKX0pg6tQmwFpo/edit?usp=sharing"",""ตรัง!M102"")+IMPORTRANGE(""https://docs.google.com/spreadsheets/d/1Dj4jcHCTV9JXKCaMoheSXS52JE63kDKyG7bPXnFogHk/edit?usp=shar"&amp;"ing"",""นครศรีธรรมราช!M102"")+IMPORTRANGE(""https://docs.google.com/spreadsheets/d/1iodCdmuK2GR3jzUwk8tpccY2JHQQA-87DLOtJP-ooyU/edit?usp=sharing"",""นราธิวาส!M102"")+IMPORTRANGE(""https://docs.google.com/spreadsheets/d/1SDNX3JhDdYRuIOsj0Wh2M-Qa_eaXl0NbWmh"&amp;"AOTbfQAs/edit?usp=sharing"",""ปัตตานี!M102"")+IMPORTRANGE(""https://docs.google.com/spreadsheets/d/16JDLGguT8s5DsGCND1KcwHP_AWR_zDMTqLHPLJUKhaU/edit?usp=sharing"",""พังงา!M102"")+IMPORTRANGE(""https://docs.google.com/spreadsheets/d/17ht0gPKzzT3PObBL1XJkeR"&amp;"mntBXI7wGjpLV7QorqlTk/edit?usp=sharing"",""พัทลุง!M102"")+IMPORTRANGE(""https://docs.google.com/spreadsheets/d/1rd4qoM1q_hsgaolqNGfrim9gbsoLxQsda4-vOz5x_BM/edit?usp=sharing"",""ภูเก็ต!M102"")+IMPORTRANGE(""https://docs.google.com/spreadsheets/d/1woKwKjgoL"&amp;"ssDvPcPeVyezB5izizAn4X1JDrys69n6xI/edit?usp=sharing"",""ยะลา!M102"")+IMPORTRANGE(""https://docs.google.com/spreadsheets/d/1qfrKjzMhm2HJfxQ-qVlJlJQ25Hne1d0khsySbZyGtPA/edit?usp=sharing"",""ระนอง!M102"")+IMPORTRANGE(""https://docs.google.com/spreadsheets/d/"&amp;"1IbSCnFOKpZsnFogBHJnL_isstZVaOMnFiIN0fGTPZZw/edit?usp=sharing"",""สงขลา!M102"")+IMPORTRANGE(""https://docs.google.com/spreadsheets/d/1q9nWasZJ-K8bFGvbE9n0qSRuKGA4Toe3Y89cKCiVtCU/edit?usp=sharing"",""สตูล!M102"")+IMPORTRANGE(""https://docs.google.com/sprea"&amp;"dsheets/d/18T20gbkS_WBjdscyTOV05cvq_JqvqQ17C81mpxf7Ncs/edit?usp=sharing"",""สุราษฎร์ธานี!M102"")"),0)</f>
        <v>0</v>
      </c>
      <c r="N102" s="59">
        <f ca="1">IFERROR(__xludf.DUMMYFUNCTION("IMPORTRANGE(""https://docs.google.com/spreadsheets/d/1kKUcYdkIfrgTSj8iHHHB2MD2FAtwyyocFgqGQn6ADyI/edit?usp=sharing"",""กระบี่!N102"")+IMPORTRANGE(""https://docs.google.com/spreadsheets/d/1GwtLaSlNZkLk7iDqcyZz22giiy40b_usZZBXYciEN1U/edit?usp=sharing"",""ชุ"&amp;"มพร!N102"")+IMPORTRANGE(""https://docs.google.com/spreadsheets/d/16pAz3pOhQEZBhvFNMa5KGgZS6iKWpsKX0pg6tQmwFpo/edit?usp=sharing"",""ตรัง!N102"")+IMPORTRANGE(""https://docs.google.com/spreadsheets/d/1Dj4jcHCTV9JXKCaMoheSXS52JE63kDKyG7bPXnFogHk/edit?usp=shar"&amp;"ing"",""นครศรีธรรมราช!N102"")+IMPORTRANGE(""https://docs.google.com/spreadsheets/d/1iodCdmuK2GR3jzUwk8tpccY2JHQQA-87DLOtJP-ooyU/edit?usp=sharing"",""นราธิวาส!N102"")+IMPORTRANGE(""https://docs.google.com/spreadsheets/d/1SDNX3JhDdYRuIOsj0Wh2M-Qa_eaXl0NbWmh"&amp;"AOTbfQAs/edit?usp=sharing"",""ปัตตานี!N102"")+IMPORTRANGE(""https://docs.google.com/spreadsheets/d/16JDLGguT8s5DsGCND1KcwHP_AWR_zDMTqLHPLJUKhaU/edit?usp=sharing"",""พังงา!N102"")+IMPORTRANGE(""https://docs.google.com/spreadsheets/d/17ht0gPKzzT3PObBL1XJkeR"&amp;"mntBXI7wGjpLV7QorqlTk/edit?usp=sharing"",""พัทลุง!N102"")+IMPORTRANGE(""https://docs.google.com/spreadsheets/d/1rd4qoM1q_hsgaolqNGfrim9gbsoLxQsda4-vOz5x_BM/edit?usp=sharing"",""ภูเก็ต!N102"")+IMPORTRANGE(""https://docs.google.com/spreadsheets/d/1woKwKjgoL"&amp;"ssDvPcPeVyezB5izizAn4X1JDrys69n6xI/edit?usp=sharing"",""ยะลา!N102"")+IMPORTRANGE(""https://docs.google.com/spreadsheets/d/1qfrKjzMhm2HJfxQ-qVlJlJQ25Hne1d0khsySbZyGtPA/edit?usp=sharing"",""ระนอง!N102"")+IMPORTRANGE(""https://docs.google.com/spreadsheets/d/"&amp;"1IbSCnFOKpZsnFogBHJnL_isstZVaOMnFiIN0fGTPZZw/edit?usp=sharing"",""สงขลา!N102"")+IMPORTRANGE(""https://docs.google.com/spreadsheets/d/1q9nWasZJ-K8bFGvbE9n0qSRuKGA4Toe3Y89cKCiVtCU/edit?usp=sharing"",""สตูล!N102"")+IMPORTRANGE(""https://docs.google.com/sprea"&amp;"dsheets/d/18T20gbkS_WBjdscyTOV05cvq_JqvqQ17C81mpxf7Ncs/edit?usp=sharing"",""สุราษฎร์ธานี!N102"")"),0)</f>
        <v>0</v>
      </c>
      <c r="O102" s="59">
        <f t="shared" ca="1" si="47"/>
        <v>0</v>
      </c>
      <c r="P102" s="59">
        <f t="shared" ca="1" si="48"/>
        <v>0</v>
      </c>
    </row>
    <row r="103" spans="1:16" ht="19.5" x14ac:dyDescent="0.3">
      <c r="A103" s="167"/>
      <c r="B103" s="168"/>
      <c r="C103" s="158" t="s">
        <v>16</v>
      </c>
      <c r="D103" s="169" t="s">
        <v>36</v>
      </c>
      <c r="E103" s="170"/>
      <c r="F103" s="170"/>
      <c r="G103" s="171"/>
      <c r="H103" s="172"/>
      <c r="I103" s="164"/>
      <c r="J103" s="57"/>
      <c r="K103" s="58"/>
      <c r="L103" s="58"/>
      <c r="M103" s="58"/>
      <c r="N103" s="58"/>
      <c r="O103" s="165"/>
      <c r="P103" s="165"/>
    </row>
    <row r="104" spans="1:16" ht="18.75" hidden="1" x14ac:dyDescent="0.25">
      <c r="A104" s="184"/>
      <c r="B104" s="185"/>
      <c r="C104" s="185"/>
      <c r="D104" s="186"/>
      <c r="E104" s="187"/>
      <c r="F104" s="187"/>
      <c r="G104" s="188"/>
      <c r="H104" s="189"/>
      <c r="I104" s="190"/>
      <c r="J104" s="190"/>
      <c r="K104" s="191"/>
      <c r="L104" s="23"/>
      <c r="M104" s="23"/>
      <c r="N104" s="23"/>
      <c r="O104" s="23"/>
      <c r="P104" s="23"/>
    </row>
    <row r="105" spans="1:16" ht="18.75" hidden="1" x14ac:dyDescent="0.25">
      <c r="A105" s="184"/>
      <c r="B105" s="185"/>
      <c r="C105" s="185"/>
      <c r="D105" s="186"/>
      <c r="E105" s="187"/>
      <c r="F105" s="187"/>
      <c r="G105" s="188"/>
      <c r="H105" s="189"/>
      <c r="I105" s="190"/>
      <c r="J105" s="190"/>
      <c r="K105" s="191"/>
      <c r="L105" s="23"/>
      <c r="M105" s="23"/>
      <c r="N105" s="23"/>
      <c r="O105" s="23"/>
      <c r="P105" s="23"/>
    </row>
    <row r="106" spans="1:16" ht="18.75" hidden="1" x14ac:dyDescent="0.25">
      <c r="A106" s="184"/>
      <c r="B106" s="185"/>
      <c r="C106" s="185"/>
      <c r="D106" s="185"/>
      <c r="E106" s="187"/>
      <c r="F106" s="187"/>
      <c r="G106" s="188"/>
      <c r="H106" s="189"/>
      <c r="I106" s="190"/>
      <c r="J106" s="190"/>
      <c r="K106" s="191"/>
      <c r="L106" s="23"/>
      <c r="M106" s="23"/>
      <c r="N106" s="23"/>
      <c r="O106" s="23"/>
      <c r="P106" s="23"/>
    </row>
    <row r="107" spans="1:16" ht="19.5" x14ac:dyDescent="0.3">
      <c r="A107" s="167"/>
      <c r="B107" s="168"/>
      <c r="C107" s="168"/>
      <c r="D107" s="192" t="s">
        <v>45</v>
      </c>
      <c r="F107" s="174"/>
      <c r="G107" s="172"/>
      <c r="H107" s="55"/>
      <c r="I107" s="57"/>
      <c r="J107" s="57"/>
      <c r="K107" s="58"/>
      <c r="L107" s="58"/>
      <c r="M107" s="58"/>
      <c r="N107" s="58"/>
      <c r="O107" s="165"/>
      <c r="P107" s="165"/>
    </row>
    <row r="108" spans="1:16" ht="18.75" x14ac:dyDescent="0.25">
      <c r="A108" s="167"/>
      <c r="B108" s="168"/>
      <c r="C108" s="168"/>
      <c r="D108" s="193" t="s">
        <v>46</v>
      </c>
      <c r="E108" s="193"/>
      <c r="F108" s="174"/>
      <c r="G108" s="172"/>
      <c r="H108" s="56" t="s">
        <v>44</v>
      </c>
      <c r="I108" s="194">
        <f ca="1">IFERROR(__xludf.DUMMYFUNCTION("IMPORTRANGE(""https://docs.google.com/spreadsheets/d/1kKUcYdkIfrgTSj8iHHHB2MD2FAtwyyocFgqGQn6ADyI/edit?usp=sharing"",""กระบี่!I108"")+IMPORTRANGE(""https://docs.google.com/spreadsheets/d/1GwtLaSlNZkLk7iDqcyZz22giiy40b_usZZBXYciEN1U/edit?usp=sharing"",""ชุ"&amp;"มพร!I108"")+IMPORTRANGE(""https://docs.google.com/spreadsheets/d/16pAz3pOhQEZBhvFNMa5KGgZS6iKWpsKX0pg6tQmwFpo/edit?usp=sharing"",""ตรัง!I108"")+IMPORTRANGE(""https://docs.google.com/spreadsheets/d/1Dj4jcHCTV9JXKCaMoheSXS52JE63kDKyG7bPXnFogHk/edit?usp=shar"&amp;"ing"",""นครศรีธรรมราช!I108"")+IMPORTRANGE(""https://docs.google.com/spreadsheets/d/1iodCdmuK2GR3jzUwk8tpccY2JHQQA-87DLOtJP-ooyU/edit?usp=sharing"",""นราธิวาส!I108"")+IMPORTRANGE(""https://docs.google.com/spreadsheets/d/1SDNX3JhDdYRuIOsj0Wh2M-Qa_eaXl0NbWmh"&amp;"AOTbfQAs/edit?usp=sharing"",""ปัตตานี!I108"")+IMPORTRANGE(""https://docs.google.com/spreadsheets/d/16JDLGguT8s5DsGCND1KcwHP_AWR_zDMTqLHPLJUKhaU/edit?usp=sharing"",""พังงา!I108"")+IMPORTRANGE(""https://docs.google.com/spreadsheets/d/17ht0gPKzzT3PObBL1XJkeR"&amp;"mntBXI7wGjpLV7QorqlTk/edit?usp=sharing"",""พัทลุง!I108"")+IMPORTRANGE(""https://docs.google.com/spreadsheets/d/1rd4qoM1q_hsgaolqNGfrim9gbsoLxQsda4-vOz5x_BM/edit?usp=sharing"",""ภูเก็ต!I108"")+IMPORTRANGE(""https://docs.google.com/spreadsheets/d/1woKwKjgoL"&amp;"ssDvPcPeVyezB5izizAn4X1JDrys69n6xI/edit?usp=sharing"",""ยะลา!I108"")+IMPORTRANGE(""https://docs.google.com/spreadsheets/d/1qfrKjzMhm2HJfxQ-qVlJlJQ25Hne1d0khsySbZyGtPA/edit?usp=sharing"",""ระนอง!I108"")+IMPORTRANGE(""https://docs.google.com/spreadsheets/d/"&amp;"1IbSCnFOKpZsnFogBHJnL_isstZVaOMnFiIN0fGTPZZw/edit?usp=sharing"",""สงขลา!I108"")+IMPORTRANGE(""https://docs.google.com/spreadsheets/d/1q9nWasZJ-K8bFGvbE9n0qSRuKGA4Toe3Y89cKCiVtCU/edit?usp=sharing"",""สตูล!I108"")+IMPORTRANGE(""https://docs.google.com/sprea"&amp;"dsheets/d/18T20gbkS_WBjdscyTOV05cvq_JqvqQ17C81mpxf7Ncs/edit?usp=sharing"",""สุราษฎร์ธานี!I108"")"),0)</f>
        <v>0</v>
      </c>
      <c r="J108" s="181">
        <f ca="1">IFERROR(__xludf.DUMMYFUNCTION("IMPORTRANGE(""https://docs.google.com/spreadsheets/d/1kKUcYdkIfrgTSj8iHHHB2MD2FAtwyyocFgqGQn6ADyI/edit?usp=sharing"",""กระบี่!J108"")+IMPORTRANGE(""https://docs.google.com/spreadsheets/d/1GwtLaSlNZkLk7iDqcyZz22giiy40b_usZZBXYciEN1U/edit?usp=sharing"",""ชุ"&amp;"มพร!J108"")+IMPORTRANGE(""https://docs.google.com/spreadsheets/d/16pAz3pOhQEZBhvFNMa5KGgZS6iKWpsKX0pg6tQmwFpo/edit?usp=sharing"",""ตรัง!J108"")+IMPORTRANGE(""https://docs.google.com/spreadsheets/d/1Dj4jcHCTV9JXKCaMoheSXS52JE63kDKyG7bPXnFogHk/edit?usp=shar"&amp;"ing"",""นครศรีธรรมราช!J108"")+IMPORTRANGE(""https://docs.google.com/spreadsheets/d/1iodCdmuK2GR3jzUwk8tpccY2JHQQA-87DLOtJP-ooyU/edit?usp=sharing"",""นราธิวาส!J108"")+IMPORTRANGE(""https://docs.google.com/spreadsheets/d/1SDNX3JhDdYRuIOsj0Wh2M-Qa_eaXl0NbWmh"&amp;"AOTbfQAs/edit?usp=sharing"",""ปัตตานี!J108"")+IMPORTRANGE(""https://docs.google.com/spreadsheets/d/16JDLGguT8s5DsGCND1KcwHP_AWR_zDMTqLHPLJUKhaU/edit?usp=sharing"",""พังงา!J108"")+IMPORTRANGE(""https://docs.google.com/spreadsheets/d/17ht0gPKzzT3PObBL1XJkeR"&amp;"mntBXI7wGjpLV7QorqlTk/edit?usp=sharing"",""พัทลุง!J108"")+IMPORTRANGE(""https://docs.google.com/spreadsheets/d/1rd4qoM1q_hsgaolqNGfrim9gbsoLxQsda4-vOz5x_BM/edit?usp=sharing"",""ภูเก็ต!J108"")+IMPORTRANGE(""https://docs.google.com/spreadsheets/d/1woKwKjgoL"&amp;"ssDvPcPeVyezB5izizAn4X1JDrys69n6xI/edit?usp=sharing"",""ยะลา!J108"")+IMPORTRANGE(""https://docs.google.com/spreadsheets/d/1qfrKjzMhm2HJfxQ-qVlJlJQ25Hne1d0khsySbZyGtPA/edit?usp=sharing"",""ระนอง!J108"")+IMPORTRANGE(""https://docs.google.com/spreadsheets/d/"&amp;"1IbSCnFOKpZsnFogBHJnL_isstZVaOMnFiIN0fGTPZZw/edit?usp=sharing"",""สงขลา!J108"")+IMPORTRANGE(""https://docs.google.com/spreadsheets/d/1q9nWasZJ-K8bFGvbE9n0qSRuKGA4Toe3Y89cKCiVtCU/edit?usp=sharing"",""สตูล!J108"")+IMPORTRANGE(""https://docs.google.com/sprea"&amp;"dsheets/d/18T20gbkS_WBjdscyTOV05cvq_JqvqQ17C81mpxf7Ncs/edit?usp=sharing"",""สุราษฎร์ธานี!J108"")"),0)</f>
        <v>0</v>
      </c>
      <c r="K108" s="59">
        <f t="shared" ref="K108:K109" ca="1" si="53">IF(I108&gt;0,J108*100/I108,0)</f>
        <v>0</v>
      </c>
      <c r="L108" s="58"/>
      <c r="M108" s="58"/>
      <c r="N108" s="58"/>
      <c r="O108" s="165"/>
      <c r="P108" s="165"/>
    </row>
    <row r="109" spans="1:16" ht="18.75" x14ac:dyDescent="0.25">
      <c r="A109" s="167"/>
      <c r="B109" s="168"/>
      <c r="C109" s="168"/>
      <c r="D109" s="178" t="s">
        <v>47</v>
      </c>
      <c r="E109" s="178"/>
      <c r="F109" s="174"/>
      <c r="G109" s="172"/>
      <c r="H109" s="56" t="s">
        <v>33</v>
      </c>
      <c r="I109" s="194">
        <f ca="1">IFERROR(__xludf.DUMMYFUNCTION("IMPORTRANGE(""https://docs.google.com/spreadsheets/d/1kKUcYdkIfrgTSj8iHHHB2MD2FAtwyyocFgqGQn6ADyI/edit?usp=sharing"",""กระบี่!I109"")+IMPORTRANGE(""https://docs.google.com/spreadsheets/d/1GwtLaSlNZkLk7iDqcyZz22giiy40b_usZZBXYciEN1U/edit?usp=sharing"",""ชุ"&amp;"มพร!I109"")+IMPORTRANGE(""https://docs.google.com/spreadsheets/d/16pAz3pOhQEZBhvFNMa5KGgZS6iKWpsKX0pg6tQmwFpo/edit?usp=sharing"",""ตรัง!I109"")+IMPORTRANGE(""https://docs.google.com/spreadsheets/d/1Dj4jcHCTV9JXKCaMoheSXS52JE63kDKyG7bPXnFogHk/edit?usp=shar"&amp;"ing"",""นครศรีธรรมราช!I109"")+IMPORTRANGE(""https://docs.google.com/spreadsheets/d/1iodCdmuK2GR3jzUwk8tpccY2JHQQA-87DLOtJP-ooyU/edit?usp=sharing"",""นราธิวาส!I109"")+IMPORTRANGE(""https://docs.google.com/spreadsheets/d/1SDNX3JhDdYRuIOsj0Wh2M-Qa_eaXl0NbWmh"&amp;"AOTbfQAs/edit?usp=sharing"",""ปัตตานี!I109"")+IMPORTRANGE(""https://docs.google.com/spreadsheets/d/16JDLGguT8s5DsGCND1KcwHP_AWR_zDMTqLHPLJUKhaU/edit?usp=sharing"",""พังงา!I109"")+IMPORTRANGE(""https://docs.google.com/spreadsheets/d/17ht0gPKzzT3PObBL1XJkeR"&amp;"mntBXI7wGjpLV7QorqlTk/edit?usp=sharing"",""พัทลุง!I109"")+IMPORTRANGE(""https://docs.google.com/spreadsheets/d/1rd4qoM1q_hsgaolqNGfrim9gbsoLxQsda4-vOz5x_BM/edit?usp=sharing"",""ภูเก็ต!I109"")+IMPORTRANGE(""https://docs.google.com/spreadsheets/d/1woKwKjgoL"&amp;"ssDvPcPeVyezB5izizAn4X1JDrys69n6xI/edit?usp=sharing"",""ยะลา!I109"")+IMPORTRANGE(""https://docs.google.com/spreadsheets/d/1qfrKjzMhm2HJfxQ-qVlJlJQ25Hne1d0khsySbZyGtPA/edit?usp=sharing"",""ระนอง!I109"")+IMPORTRANGE(""https://docs.google.com/spreadsheets/d/"&amp;"1IbSCnFOKpZsnFogBHJnL_isstZVaOMnFiIN0fGTPZZw/edit?usp=sharing"",""สงขลา!I109"")+IMPORTRANGE(""https://docs.google.com/spreadsheets/d/1q9nWasZJ-K8bFGvbE9n0qSRuKGA4Toe3Y89cKCiVtCU/edit?usp=sharing"",""สตูล!I109"")+IMPORTRANGE(""https://docs.google.com/sprea"&amp;"dsheets/d/18T20gbkS_WBjdscyTOV05cvq_JqvqQ17C81mpxf7Ncs/edit?usp=sharing"",""สุราษฎร์ธานี!I109"")"),0)</f>
        <v>0</v>
      </c>
      <c r="J109" s="181">
        <f ca="1">IFERROR(__xludf.DUMMYFUNCTION("IMPORTRANGE(""https://docs.google.com/spreadsheets/d/1kKUcYdkIfrgTSj8iHHHB2MD2FAtwyyocFgqGQn6ADyI/edit?usp=sharing"",""กระบี่!J109"")+IMPORTRANGE(""https://docs.google.com/spreadsheets/d/1GwtLaSlNZkLk7iDqcyZz22giiy40b_usZZBXYciEN1U/edit?usp=sharing"",""ชุ"&amp;"มพร!J109"")+IMPORTRANGE(""https://docs.google.com/spreadsheets/d/16pAz3pOhQEZBhvFNMa5KGgZS6iKWpsKX0pg6tQmwFpo/edit?usp=sharing"",""ตรัง!J109"")+IMPORTRANGE(""https://docs.google.com/spreadsheets/d/1Dj4jcHCTV9JXKCaMoheSXS52JE63kDKyG7bPXnFogHk/edit?usp=shar"&amp;"ing"",""นครศรีธรรมราช!J109"")+IMPORTRANGE(""https://docs.google.com/spreadsheets/d/1iodCdmuK2GR3jzUwk8tpccY2JHQQA-87DLOtJP-ooyU/edit?usp=sharing"",""นราธิวาส!J109"")+IMPORTRANGE(""https://docs.google.com/spreadsheets/d/1SDNX3JhDdYRuIOsj0Wh2M-Qa_eaXl0NbWmh"&amp;"AOTbfQAs/edit?usp=sharing"",""ปัตตานี!J109"")+IMPORTRANGE(""https://docs.google.com/spreadsheets/d/16JDLGguT8s5DsGCND1KcwHP_AWR_zDMTqLHPLJUKhaU/edit?usp=sharing"",""พังงา!J109"")+IMPORTRANGE(""https://docs.google.com/spreadsheets/d/17ht0gPKzzT3PObBL1XJkeR"&amp;"mntBXI7wGjpLV7QorqlTk/edit?usp=sharing"",""พัทลุง!J109"")+IMPORTRANGE(""https://docs.google.com/spreadsheets/d/1rd4qoM1q_hsgaolqNGfrim9gbsoLxQsda4-vOz5x_BM/edit?usp=sharing"",""ภูเก็ต!J109"")+IMPORTRANGE(""https://docs.google.com/spreadsheets/d/1woKwKjgoL"&amp;"ssDvPcPeVyezB5izizAn4X1JDrys69n6xI/edit?usp=sharing"",""ยะลา!J109"")+IMPORTRANGE(""https://docs.google.com/spreadsheets/d/1qfrKjzMhm2HJfxQ-qVlJlJQ25Hne1d0khsySbZyGtPA/edit?usp=sharing"",""ระนอง!J109"")+IMPORTRANGE(""https://docs.google.com/spreadsheets/d/"&amp;"1IbSCnFOKpZsnFogBHJnL_isstZVaOMnFiIN0fGTPZZw/edit?usp=sharing"",""สงขลา!J109"")+IMPORTRANGE(""https://docs.google.com/spreadsheets/d/1q9nWasZJ-K8bFGvbE9n0qSRuKGA4Toe3Y89cKCiVtCU/edit?usp=sharing"",""สตูล!J109"")+IMPORTRANGE(""https://docs.google.com/sprea"&amp;"dsheets/d/18T20gbkS_WBjdscyTOV05cvq_JqvqQ17C81mpxf7Ncs/edit?usp=sharing"",""สุราษฎร์ธานี!J109"")"),0)</f>
        <v>0</v>
      </c>
      <c r="K109" s="59">
        <f t="shared" ca="1" si="53"/>
        <v>0</v>
      </c>
      <c r="L109" s="58"/>
      <c r="M109" s="58"/>
      <c r="N109" s="58"/>
      <c r="O109" s="165"/>
      <c r="P109" s="165"/>
    </row>
    <row r="110" spans="1:16" ht="19.5" hidden="1" x14ac:dyDescent="0.3">
      <c r="A110" s="184"/>
      <c r="B110" s="185"/>
      <c r="C110" s="185"/>
      <c r="D110" s="187"/>
      <c r="E110" s="195"/>
      <c r="F110" s="187"/>
      <c r="G110" s="188"/>
      <c r="H110" s="188"/>
      <c r="I110" s="196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0)</f>
        <v>0</v>
      </c>
      <c r="J110" s="197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110" s="198"/>
      <c r="L110" s="23"/>
      <c r="M110" s="23"/>
      <c r="N110" s="23"/>
      <c r="O110" s="23"/>
      <c r="P110" s="23"/>
    </row>
    <row r="111" spans="1:16" ht="18.75" hidden="1" x14ac:dyDescent="0.25">
      <c r="A111" s="184"/>
      <c r="B111" s="185"/>
      <c r="C111" s="185"/>
      <c r="D111" s="187"/>
      <c r="E111" s="186"/>
      <c r="F111" s="187"/>
      <c r="G111" s="188"/>
      <c r="H111" s="189"/>
      <c r="I111" s="190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0)</f>
        <v>0</v>
      </c>
      <c r="J111" s="199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111" s="191"/>
      <c r="L111" s="23"/>
      <c r="M111" s="23"/>
      <c r="N111" s="23"/>
      <c r="O111" s="23"/>
      <c r="P111" s="23"/>
    </row>
    <row r="112" spans="1:16" ht="18.75" hidden="1" x14ac:dyDescent="0.25">
      <c r="A112" s="184"/>
      <c r="B112" s="185"/>
      <c r="C112" s="185"/>
      <c r="D112" s="187"/>
      <c r="E112" s="200"/>
      <c r="F112" s="187"/>
      <c r="G112" s="188"/>
      <c r="H112" s="189"/>
      <c r="I112" s="190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0)</f>
        <v>0</v>
      </c>
      <c r="J112" s="199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112" s="191"/>
      <c r="L112" s="23"/>
      <c r="M112" s="23"/>
      <c r="N112" s="23"/>
      <c r="O112" s="23"/>
      <c r="P112" s="23"/>
    </row>
    <row r="113" spans="1:16" ht="19.5" hidden="1" x14ac:dyDescent="0.3">
      <c r="A113" s="184"/>
      <c r="B113" s="185"/>
      <c r="C113" s="185"/>
      <c r="D113" s="187"/>
      <c r="E113" s="195"/>
      <c r="F113" s="187"/>
      <c r="G113" s="188"/>
      <c r="H113" s="188"/>
      <c r="I113" s="196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0)</f>
        <v>0</v>
      </c>
      <c r="J113" s="197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113" s="198"/>
      <c r="L113" s="23"/>
      <c r="M113" s="23"/>
      <c r="N113" s="23"/>
      <c r="O113" s="23"/>
      <c r="P113" s="23"/>
    </row>
    <row r="114" spans="1:16" ht="18.75" hidden="1" x14ac:dyDescent="0.25">
      <c r="A114" s="184"/>
      <c r="B114" s="185"/>
      <c r="C114" s="185"/>
      <c r="D114" s="187"/>
      <c r="E114" s="186"/>
      <c r="F114" s="187"/>
      <c r="G114" s="188"/>
      <c r="H114" s="189"/>
      <c r="I114" s="190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0)</f>
        <v>0</v>
      </c>
      <c r="J114" s="199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114" s="191"/>
      <c r="L114" s="23"/>
      <c r="M114" s="23"/>
      <c r="N114" s="23"/>
      <c r="O114" s="23"/>
      <c r="P114" s="23"/>
    </row>
    <row r="115" spans="1:16" ht="18.75" hidden="1" x14ac:dyDescent="0.25">
      <c r="A115" s="184"/>
      <c r="B115" s="185"/>
      <c r="C115" s="185"/>
      <c r="D115" s="187"/>
      <c r="E115" s="201"/>
      <c r="F115" s="187"/>
      <c r="G115" s="188"/>
      <c r="H115" s="189"/>
      <c r="I115" s="190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0)</f>
        <v>0</v>
      </c>
      <c r="J115" s="199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115" s="191"/>
      <c r="L115" s="23"/>
      <c r="M115" s="23"/>
      <c r="N115" s="23"/>
      <c r="O115" s="23"/>
      <c r="P115" s="23"/>
    </row>
    <row r="116" spans="1:16" ht="18.75" hidden="1" x14ac:dyDescent="0.25">
      <c r="A116" s="184"/>
      <c r="B116" s="185"/>
      <c r="C116" s="185"/>
      <c r="D116" s="187"/>
      <c r="E116" s="201"/>
      <c r="F116" s="187"/>
      <c r="G116" s="188"/>
      <c r="H116" s="189"/>
      <c r="I116" s="190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0)</f>
        <v>0</v>
      </c>
      <c r="J116" s="199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116" s="191"/>
      <c r="L116" s="23"/>
      <c r="M116" s="23"/>
      <c r="N116" s="23"/>
      <c r="O116" s="23"/>
      <c r="P116" s="23"/>
    </row>
    <row r="117" spans="1:16" ht="18.75" x14ac:dyDescent="0.25">
      <c r="A117" s="167"/>
      <c r="B117" s="168"/>
      <c r="C117" s="168"/>
      <c r="D117" s="193" t="s">
        <v>48</v>
      </c>
      <c r="E117" s="174"/>
      <c r="F117" s="174"/>
      <c r="G117" s="172"/>
      <c r="H117" s="179" t="s">
        <v>33</v>
      </c>
      <c r="I117" s="180">
        <f ca="1">IFERROR(__xludf.DUMMYFUNCTION("IMPORTRANGE(""https://docs.google.com/spreadsheets/d/1kKUcYdkIfrgTSj8iHHHB2MD2FAtwyyocFgqGQn6ADyI/edit?usp=sharing"",""กระบี่!I117"")+IMPORTRANGE(""https://docs.google.com/spreadsheets/d/1GwtLaSlNZkLk7iDqcyZz22giiy40b_usZZBXYciEN1U/edit?usp=sharing"",""ชุ"&amp;"มพร!I117"")+IMPORTRANGE(""https://docs.google.com/spreadsheets/d/16pAz3pOhQEZBhvFNMa5KGgZS6iKWpsKX0pg6tQmwFpo/edit?usp=sharing"",""ตรัง!I117"")+IMPORTRANGE(""https://docs.google.com/spreadsheets/d/1Dj4jcHCTV9JXKCaMoheSXS52JE63kDKyG7bPXnFogHk/edit?usp=shar"&amp;"ing"",""นครศรีธรรมราช!I117"")+IMPORTRANGE(""https://docs.google.com/spreadsheets/d/1iodCdmuK2GR3jzUwk8tpccY2JHQQA-87DLOtJP-ooyU/edit?usp=sharing"",""นราธิวาส!I117"")+IMPORTRANGE(""https://docs.google.com/spreadsheets/d/1SDNX3JhDdYRuIOsj0Wh2M-Qa_eaXl0NbWmh"&amp;"AOTbfQAs/edit?usp=sharing"",""ปัตตานี!I117"")+IMPORTRANGE(""https://docs.google.com/spreadsheets/d/16JDLGguT8s5DsGCND1KcwHP_AWR_zDMTqLHPLJUKhaU/edit?usp=sharing"",""พังงา!I117"")+IMPORTRANGE(""https://docs.google.com/spreadsheets/d/17ht0gPKzzT3PObBL1XJkeR"&amp;"mntBXI7wGjpLV7QorqlTk/edit?usp=sharing"",""พัทลุง!I117"")+IMPORTRANGE(""https://docs.google.com/spreadsheets/d/1rd4qoM1q_hsgaolqNGfrim9gbsoLxQsda4-vOz5x_BM/edit?usp=sharing"",""ภูเก็ต!I117"")+IMPORTRANGE(""https://docs.google.com/spreadsheets/d/1woKwKjgoL"&amp;"ssDvPcPeVyezB5izizAn4X1JDrys69n6xI/edit?usp=sharing"",""ยะลา!I117"")+IMPORTRANGE(""https://docs.google.com/spreadsheets/d/1qfrKjzMhm2HJfxQ-qVlJlJQ25Hne1d0khsySbZyGtPA/edit?usp=sharing"",""ระนอง!I117"")+IMPORTRANGE(""https://docs.google.com/spreadsheets/d/"&amp;"1IbSCnFOKpZsnFogBHJnL_isstZVaOMnFiIN0fGTPZZw/edit?usp=sharing"",""สงขลา!I117"")+IMPORTRANGE(""https://docs.google.com/spreadsheets/d/1q9nWasZJ-K8bFGvbE9n0qSRuKGA4Toe3Y89cKCiVtCU/edit?usp=sharing"",""สตูล!I117"")+IMPORTRANGE(""https://docs.google.com/sprea"&amp;"dsheets/d/18T20gbkS_WBjdscyTOV05cvq_JqvqQ17C81mpxf7Ncs/edit?usp=sharing"",""สุราษฎร์ธานี!I117"")"),0)</f>
        <v>0</v>
      </c>
      <c r="J117" s="181">
        <f ca="1">IFERROR(__xludf.DUMMYFUNCTION("IMPORTRANGE(""https://docs.google.com/spreadsheets/d/1kKUcYdkIfrgTSj8iHHHB2MD2FAtwyyocFgqGQn6ADyI/edit?usp=sharing"",""กระบี่!J117"")+IMPORTRANGE(""https://docs.google.com/spreadsheets/d/1GwtLaSlNZkLk7iDqcyZz22giiy40b_usZZBXYciEN1U/edit?usp=sharing"",""ชุ"&amp;"มพร!J117"")+IMPORTRANGE(""https://docs.google.com/spreadsheets/d/16pAz3pOhQEZBhvFNMa5KGgZS6iKWpsKX0pg6tQmwFpo/edit?usp=sharing"",""ตรัง!J117"")+IMPORTRANGE(""https://docs.google.com/spreadsheets/d/1Dj4jcHCTV9JXKCaMoheSXS52JE63kDKyG7bPXnFogHk/edit?usp=shar"&amp;"ing"",""นครศรีธรรมราช!J117"")+IMPORTRANGE(""https://docs.google.com/spreadsheets/d/1iodCdmuK2GR3jzUwk8tpccY2JHQQA-87DLOtJP-ooyU/edit?usp=sharing"",""นราธิวาส!J117"")+IMPORTRANGE(""https://docs.google.com/spreadsheets/d/1SDNX3JhDdYRuIOsj0Wh2M-Qa_eaXl0NbWmh"&amp;"AOTbfQAs/edit?usp=sharing"",""ปัตตานี!J117"")+IMPORTRANGE(""https://docs.google.com/spreadsheets/d/16JDLGguT8s5DsGCND1KcwHP_AWR_zDMTqLHPLJUKhaU/edit?usp=sharing"",""พังงา!J117"")+IMPORTRANGE(""https://docs.google.com/spreadsheets/d/17ht0gPKzzT3PObBL1XJkeR"&amp;"mntBXI7wGjpLV7QorqlTk/edit?usp=sharing"",""พัทลุง!J117"")+IMPORTRANGE(""https://docs.google.com/spreadsheets/d/1rd4qoM1q_hsgaolqNGfrim9gbsoLxQsda4-vOz5x_BM/edit?usp=sharing"",""ภูเก็ต!J117"")+IMPORTRANGE(""https://docs.google.com/spreadsheets/d/1woKwKjgoL"&amp;"ssDvPcPeVyezB5izizAn4X1JDrys69n6xI/edit?usp=sharing"",""ยะลา!J117"")+IMPORTRANGE(""https://docs.google.com/spreadsheets/d/1qfrKjzMhm2HJfxQ-qVlJlJQ25Hne1d0khsySbZyGtPA/edit?usp=sharing"",""ระนอง!J117"")+IMPORTRANGE(""https://docs.google.com/spreadsheets/d/"&amp;"1IbSCnFOKpZsnFogBHJnL_isstZVaOMnFiIN0fGTPZZw/edit?usp=sharing"",""สงขลา!J117"")+IMPORTRANGE(""https://docs.google.com/spreadsheets/d/1q9nWasZJ-K8bFGvbE9n0qSRuKGA4Toe3Y89cKCiVtCU/edit?usp=sharing"",""สตูล!J117"")+IMPORTRANGE(""https://docs.google.com/sprea"&amp;"dsheets/d/18T20gbkS_WBjdscyTOV05cvq_JqvqQ17C81mpxf7Ncs/edit?usp=sharing"",""สุราษฎร์ธานี!J117"")"),0)</f>
        <v>0</v>
      </c>
      <c r="K117" s="59">
        <f ca="1">IF(I117&gt;0,J117*100/I117,0)</f>
        <v>0</v>
      </c>
      <c r="L117" s="58"/>
      <c r="M117" s="58"/>
      <c r="N117" s="58"/>
      <c r="O117" s="165"/>
      <c r="P117" s="165"/>
    </row>
    <row r="118" spans="1:16" ht="19.5" hidden="1" x14ac:dyDescent="0.3">
      <c r="A118" s="184"/>
      <c r="B118" s="185"/>
      <c r="C118" s="185"/>
      <c r="D118" s="185"/>
      <c r="E118" s="187"/>
      <c r="F118" s="187"/>
      <c r="G118" s="188"/>
      <c r="H118" s="202"/>
      <c r="I118" s="203"/>
      <c r="J118" s="203"/>
      <c r="K118" s="204"/>
      <c r="L118" s="23"/>
      <c r="M118" s="23"/>
      <c r="N118" s="23"/>
      <c r="O118" s="23"/>
      <c r="P118" s="23"/>
    </row>
    <row r="119" spans="1:16" ht="18.75" hidden="1" x14ac:dyDescent="0.25">
      <c r="A119" s="184"/>
      <c r="B119" s="185"/>
      <c r="C119" s="185"/>
      <c r="D119" s="185"/>
      <c r="E119" s="186"/>
      <c r="F119" s="187"/>
      <c r="G119" s="188"/>
      <c r="H119" s="189"/>
      <c r="I119" s="190"/>
      <c r="J119" s="190"/>
      <c r="K119" s="191"/>
      <c r="L119" s="23"/>
      <c r="M119" s="23"/>
      <c r="N119" s="23"/>
      <c r="O119" s="23"/>
      <c r="P119" s="23"/>
    </row>
    <row r="120" spans="1:16" ht="18.75" hidden="1" x14ac:dyDescent="0.25">
      <c r="A120" s="184"/>
      <c r="B120" s="185"/>
      <c r="C120" s="185"/>
      <c r="D120" s="185"/>
      <c r="E120" s="186"/>
      <c r="F120" s="187"/>
      <c r="G120" s="188"/>
      <c r="H120" s="189"/>
      <c r="I120" s="190"/>
      <c r="J120" s="190"/>
      <c r="K120" s="191"/>
      <c r="L120" s="23"/>
      <c r="M120" s="23"/>
      <c r="N120" s="23"/>
      <c r="O120" s="23"/>
      <c r="P120" s="23"/>
    </row>
    <row r="121" spans="1:16" ht="18.75" hidden="1" x14ac:dyDescent="0.25">
      <c r="A121" s="184"/>
      <c r="B121" s="185"/>
      <c r="C121" s="185"/>
      <c r="D121" s="185"/>
      <c r="E121" s="186"/>
      <c r="F121" s="187"/>
      <c r="G121" s="188"/>
      <c r="H121" s="189"/>
      <c r="I121" s="190"/>
      <c r="J121" s="190"/>
      <c r="K121" s="191"/>
      <c r="L121" s="23"/>
      <c r="M121" s="23"/>
      <c r="N121" s="23"/>
      <c r="O121" s="23"/>
      <c r="P121" s="23"/>
    </row>
    <row r="122" spans="1:16" ht="18.75" hidden="1" x14ac:dyDescent="0.25">
      <c r="A122" s="184"/>
      <c r="B122" s="185"/>
      <c r="C122" s="185"/>
      <c r="D122" s="185"/>
      <c r="E122" s="186"/>
      <c r="F122" s="187"/>
      <c r="G122" s="188"/>
      <c r="H122" s="189"/>
      <c r="I122" s="190"/>
      <c r="J122" s="190"/>
      <c r="K122" s="191"/>
      <c r="L122" s="23"/>
      <c r="M122" s="23"/>
      <c r="N122" s="23"/>
      <c r="O122" s="23"/>
      <c r="P122" s="23"/>
    </row>
    <row r="123" spans="1:16" ht="19.5" hidden="1" x14ac:dyDescent="0.3">
      <c r="A123" s="205" t="s">
        <v>49</v>
      </c>
      <c r="B123" s="17"/>
      <c r="C123" s="206"/>
      <c r="D123" s="17"/>
      <c r="E123" s="17"/>
      <c r="F123" s="17"/>
      <c r="G123" s="17"/>
      <c r="H123" s="17"/>
      <c r="I123" s="207"/>
      <c r="J123" s="207"/>
      <c r="K123" s="208"/>
      <c r="L123" s="23"/>
      <c r="M123" s="23"/>
      <c r="N123" s="23"/>
      <c r="O123" s="23"/>
      <c r="P123" s="23"/>
    </row>
    <row r="124" spans="1:16" ht="19.5" hidden="1" x14ac:dyDescent="0.3">
      <c r="A124" s="209"/>
      <c r="B124" s="210" t="s">
        <v>50</v>
      </c>
      <c r="C124" s="206"/>
      <c r="D124" s="211"/>
      <c r="E124" s="17"/>
      <c r="F124" s="17"/>
      <c r="G124" s="20"/>
      <c r="H124" s="20"/>
      <c r="I124" s="212">
        <v>0</v>
      </c>
      <c r="J124" s="212">
        <v>0</v>
      </c>
      <c r="K124" s="27">
        <v>0</v>
      </c>
      <c r="L124" s="23"/>
      <c r="M124" s="23"/>
      <c r="N124" s="23"/>
      <c r="O124" s="23"/>
      <c r="P124" s="23"/>
    </row>
    <row r="125" spans="1:16" ht="19.5" hidden="1" x14ac:dyDescent="0.3">
      <c r="A125" s="209"/>
      <c r="B125" s="17"/>
      <c r="C125" s="18" t="s">
        <v>16</v>
      </c>
      <c r="D125" s="19" t="s">
        <v>17</v>
      </c>
      <c r="E125" s="17"/>
      <c r="F125" s="17"/>
      <c r="G125" s="20"/>
      <c r="H125" s="213" t="s">
        <v>12</v>
      </c>
      <c r="I125" s="22"/>
      <c r="J125" s="22"/>
      <c r="K125" s="23"/>
      <c r="L125" s="24">
        <f t="shared" ref="L125:N125" ca="1" si="54">L126+L127</f>
        <v>0</v>
      </c>
      <c r="M125" s="24">
        <f t="shared" ca="1" si="54"/>
        <v>0</v>
      </c>
      <c r="N125" s="24">
        <f t="shared" ca="1" si="54"/>
        <v>0</v>
      </c>
      <c r="O125" s="24">
        <f t="shared" ref="O125:O133" ca="1" si="55">IF(L125&gt;0,N125*100/L125,0)</f>
        <v>0</v>
      </c>
      <c r="P125" s="24">
        <f t="shared" ref="P125:P133" ca="1" si="56">IF(M125&gt;0,N125*100/M125,0)</f>
        <v>0</v>
      </c>
    </row>
    <row r="126" spans="1:16" ht="18.75" hidden="1" x14ac:dyDescent="0.25">
      <c r="A126" s="214"/>
      <c r="B126" s="187"/>
      <c r="C126" s="187"/>
      <c r="D126" s="187"/>
      <c r="E126" s="186" t="s">
        <v>18</v>
      </c>
      <c r="F126" s="187"/>
      <c r="G126" s="188"/>
      <c r="H126" s="215" t="s">
        <v>12</v>
      </c>
      <c r="I126" s="196"/>
      <c r="J126" s="196"/>
      <c r="K126" s="198"/>
      <c r="L126" s="27">
        <f t="shared" ref="L126:N126" ca="1" si="57">L129+L132</f>
        <v>0</v>
      </c>
      <c r="M126" s="27">
        <f t="shared" ca="1" si="57"/>
        <v>0</v>
      </c>
      <c r="N126" s="27">
        <f t="shared" ca="1" si="57"/>
        <v>0</v>
      </c>
      <c r="O126" s="27">
        <f t="shared" ca="1" si="55"/>
        <v>0</v>
      </c>
      <c r="P126" s="27">
        <f t="shared" ca="1" si="56"/>
        <v>0</v>
      </c>
    </row>
    <row r="127" spans="1:16" ht="18.75" hidden="1" x14ac:dyDescent="0.25">
      <c r="A127" s="209"/>
      <c r="B127" s="17"/>
      <c r="C127" s="17"/>
      <c r="D127" s="17"/>
      <c r="E127" s="25" t="s">
        <v>19</v>
      </c>
      <c r="F127" s="17"/>
      <c r="G127" s="20"/>
      <c r="H127" s="216" t="s">
        <v>12</v>
      </c>
      <c r="I127" s="22"/>
      <c r="J127" s="22"/>
      <c r="K127" s="23"/>
      <c r="L127" s="27">
        <f t="shared" ref="L127:N127" ca="1" si="58">L130+L133</f>
        <v>0</v>
      </c>
      <c r="M127" s="27">
        <f t="shared" ca="1" si="58"/>
        <v>0</v>
      </c>
      <c r="N127" s="27">
        <f t="shared" ca="1" si="58"/>
        <v>0</v>
      </c>
      <c r="O127" s="27">
        <f t="shared" ca="1" si="55"/>
        <v>0</v>
      </c>
      <c r="P127" s="27">
        <f t="shared" ca="1" si="56"/>
        <v>0</v>
      </c>
    </row>
    <row r="128" spans="1:16" ht="18.75" hidden="1" x14ac:dyDescent="0.25">
      <c r="A128" s="209"/>
      <c r="B128" s="17"/>
      <c r="C128" s="17"/>
      <c r="D128" s="28" t="s">
        <v>20</v>
      </c>
      <c r="E128" s="17"/>
      <c r="F128" s="17"/>
      <c r="G128" s="20"/>
      <c r="H128" s="217" t="s">
        <v>12</v>
      </c>
      <c r="I128" s="22"/>
      <c r="J128" s="22"/>
      <c r="K128" s="23"/>
      <c r="L128" s="27">
        <f t="shared" ref="L128:N128" ca="1" si="59">L129+L130</f>
        <v>0</v>
      </c>
      <c r="M128" s="27">
        <f t="shared" ca="1" si="59"/>
        <v>0</v>
      </c>
      <c r="N128" s="27">
        <f t="shared" ca="1" si="59"/>
        <v>0</v>
      </c>
      <c r="O128" s="27">
        <f t="shared" ca="1" si="55"/>
        <v>0</v>
      </c>
      <c r="P128" s="27">
        <f t="shared" ca="1" si="56"/>
        <v>0</v>
      </c>
    </row>
    <row r="129" spans="1:16" ht="18.75" hidden="1" x14ac:dyDescent="0.25">
      <c r="A129" s="214"/>
      <c r="B129" s="187"/>
      <c r="C129" s="187"/>
      <c r="D129" s="187"/>
      <c r="E129" s="186" t="s">
        <v>34</v>
      </c>
      <c r="F129" s="187"/>
      <c r="G129" s="188"/>
      <c r="H129" s="218" t="s">
        <v>12</v>
      </c>
      <c r="I129" s="196"/>
      <c r="J129" s="196"/>
      <c r="K129" s="198"/>
      <c r="L129" s="27">
        <f ca="1">IFERROR(__xludf.DUMMYFUNCTION("IMPORTRANGE(""https://docs.google.com/spreadsheets/d/1-uDff_7J0KD5mKrp0Vvzr7lt3OU09vwQwhkpOPPYv2Y/edit?usp=sharing"",""งบพรบ!BG9"")"),0)</f>
        <v>0</v>
      </c>
      <c r="M129" s="27">
        <f ca="1">IFERROR(__xludf.DUMMYFUNCTION("IMPORTRANGE(""https://docs.google.com/spreadsheets/d/1-uDff_7J0KD5mKrp0Vvzr7lt3OU09vwQwhkpOPPYv2Y/edit?usp=sharing"",""งบพรบ!BL9"")"),0)</f>
        <v>0</v>
      </c>
      <c r="N129" s="27">
        <f ca="1">IFERROR(__xludf.DUMMYFUNCTION("IMPORTRANGE(""https://docs.google.com/spreadsheets/d/1-uDff_7J0KD5mKrp0Vvzr7lt3OU09vwQwhkpOPPYv2Y/edit?usp=sharing"",""งบพรบ!BN9"")"),0)</f>
        <v>0</v>
      </c>
      <c r="O129" s="27">
        <f t="shared" ca="1" si="55"/>
        <v>0</v>
      </c>
      <c r="P129" s="27">
        <f t="shared" ca="1" si="56"/>
        <v>0</v>
      </c>
    </row>
    <row r="130" spans="1:16" ht="18.75" hidden="1" x14ac:dyDescent="0.25">
      <c r="A130" s="209"/>
      <c r="B130" s="17"/>
      <c r="C130" s="17"/>
      <c r="D130" s="17"/>
      <c r="E130" s="25" t="s">
        <v>35</v>
      </c>
      <c r="F130" s="17"/>
      <c r="G130" s="20"/>
      <c r="H130" s="217" t="s">
        <v>12</v>
      </c>
      <c r="I130" s="22"/>
      <c r="J130" s="22"/>
      <c r="K130" s="23"/>
      <c r="L130" s="27">
        <f ca="1">IFERROR(__xludf.DUMMYFUNCTION("IMPORTRANGE(""https://docs.google.com/spreadsheets/d/1-uDff_7J0KD5mKrp0Vvzr7lt3OU09vwQwhkpOPPYv2Y/edit?usp=sharing"",""งบพรบ!BG8"")"),0)</f>
        <v>0</v>
      </c>
      <c r="M130" s="27">
        <f ca="1">IFERROR(__xludf.DUMMYFUNCTION("IMPORTRANGE(""https://docs.google.com/spreadsheets/d/1-uDff_7J0KD5mKrp0Vvzr7lt3OU09vwQwhkpOPPYv2Y/edit?usp=sharing"",""งบพรบ!BL8"")"),0)</f>
        <v>0</v>
      </c>
      <c r="N130" s="27">
        <f ca="1">IFERROR(__xludf.DUMMYFUNCTION("IMPORTRANGE(""https://docs.google.com/spreadsheets/d/1-uDff_7J0KD5mKrp0Vvzr7lt3OU09vwQwhkpOPPYv2Y/edit?usp=sharing"",""งบพรบ!BN8"")"),0)</f>
        <v>0</v>
      </c>
      <c r="O130" s="27">
        <f t="shared" ca="1" si="55"/>
        <v>0</v>
      </c>
      <c r="P130" s="27">
        <f t="shared" ca="1" si="56"/>
        <v>0</v>
      </c>
    </row>
    <row r="131" spans="1:16" ht="18.75" hidden="1" x14ac:dyDescent="0.25">
      <c r="A131" s="209"/>
      <c r="B131" s="17"/>
      <c r="C131" s="17"/>
      <c r="D131" s="28" t="s">
        <v>21</v>
      </c>
      <c r="E131" s="17"/>
      <c r="F131" s="17"/>
      <c r="G131" s="20"/>
      <c r="H131" s="216" t="s">
        <v>12</v>
      </c>
      <c r="I131" s="22"/>
      <c r="J131" s="22"/>
      <c r="K131" s="23"/>
      <c r="L131" s="27">
        <f t="shared" ref="L131:N131" ca="1" si="60">L132+L133</f>
        <v>0</v>
      </c>
      <c r="M131" s="27">
        <f t="shared" ca="1" si="60"/>
        <v>0</v>
      </c>
      <c r="N131" s="27">
        <f t="shared" ca="1" si="60"/>
        <v>0</v>
      </c>
      <c r="O131" s="27">
        <f t="shared" ca="1" si="55"/>
        <v>0</v>
      </c>
      <c r="P131" s="27">
        <f t="shared" ca="1" si="56"/>
        <v>0</v>
      </c>
    </row>
    <row r="132" spans="1:16" ht="18.75" hidden="1" x14ac:dyDescent="0.25">
      <c r="A132" s="214"/>
      <c r="B132" s="187"/>
      <c r="C132" s="187"/>
      <c r="D132" s="187"/>
      <c r="E132" s="186" t="s">
        <v>18</v>
      </c>
      <c r="F132" s="187"/>
      <c r="G132" s="188"/>
      <c r="H132" s="218" t="s">
        <v>12</v>
      </c>
      <c r="I132" s="196"/>
      <c r="J132" s="196"/>
      <c r="K132" s="198"/>
      <c r="L132" s="27">
        <f ca="1">IFERROR(__xludf.DUMMYFUNCTION("IMPORTRANGE(""https://docs.google.com/spreadsheets/d/1-uDff_7J0KD5mKrp0Vvzr7lt3OU09vwQwhkpOPPYv2Y/edit?usp=sharing"",""งบพรบ!BJ9"")"),0)</f>
        <v>0</v>
      </c>
      <c r="M132" s="27">
        <f ca="1">IFERROR(__xludf.DUMMYFUNCTION("IMPORTRANGE(""https://docs.google.com/spreadsheets/d/1-uDff_7J0KD5mKrp0Vvzr7lt3OU09vwQwhkpOPPYv2Y/edit?usp=sharing"",""งบพรบ!BM9"")"),0)</f>
        <v>0</v>
      </c>
      <c r="N132" s="27">
        <f ca="1">IFERROR(__xludf.DUMMYFUNCTION("IMPORTRANGE(""https://docs.google.com/spreadsheets/d/1-uDff_7J0KD5mKrp0Vvzr7lt3OU09vwQwhkpOPPYv2Y/edit?usp=sharing"",""งบพรบ!BO9"")"),0)</f>
        <v>0</v>
      </c>
      <c r="O132" s="27">
        <f t="shared" ca="1" si="55"/>
        <v>0</v>
      </c>
      <c r="P132" s="27">
        <f t="shared" ca="1" si="56"/>
        <v>0</v>
      </c>
    </row>
    <row r="133" spans="1:16" ht="18.75" hidden="1" x14ac:dyDescent="0.25">
      <c r="A133" s="209"/>
      <c r="B133" s="17"/>
      <c r="C133" s="17"/>
      <c r="D133" s="17"/>
      <c r="E133" s="25" t="s">
        <v>19</v>
      </c>
      <c r="F133" s="17"/>
      <c r="G133" s="20"/>
      <c r="H133" s="216" t="s">
        <v>12</v>
      </c>
      <c r="I133" s="22"/>
      <c r="J133" s="22"/>
      <c r="K133" s="23"/>
      <c r="L133" s="27">
        <f ca="1">IFERROR(__xludf.DUMMYFUNCTION("IMPORTRANGE(""https://docs.google.com/spreadsheets/d/1-uDff_7J0KD5mKrp0Vvzr7lt3OU09vwQwhkpOPPYv2Y/edit?usp=sharing"",""งบพรบ!BJ8"")"),0)</f>
        <v>0</v>
      </c>
      <c r="M133" s="27">
        <f ca="1">IFERROR(__xludf.DUMMYFUNCTION("IMPORTRANGE(""https://docs.google.com/spreadsheets/d/1-uDff_7J0KD5mKrp0Vvzr7lt3OU09vwQwhkpOPPYv2Y/edit?usp=sharing"",""งบพรบ!BM8"")"),0)</f>
        <v>0</v>
      </c>
      <c r="N133" s="27">
        <f ca="1">IFERROR(__xludf.DUMMYFUNCTION("IMPORTRANGE(""https://docs.google.com/spreadsheets/d/1-uDff_7J0KD5mKrp0Vvzr7lt3OU09vwQwhkpOPPYv2Y/edit?usp=sharing"",""งบพรบ!BO8"")"),0)</f>
        <v>0</v>
      </c>
      <c r="O133" s="27">
        <f t="shared" ca="1" si="55"/>
        <v>0</v>
      </c>
      <c r="P133" s="27">
        <f t="shared" ca="1" si="56"/>
        <v>0</v>
      </c>
    </row>
    <row r="134" spans="1:16" ht="19.5" x14ac:dyDescent="0.3">
      <c r="A134" s="146" t="s">
        <v>51</v>
      </c>
      <c r="B134" s="147"/>
      <c r="C134" s="219"/>
      <c r="D134" s="147"/>
      <c r="E134" s="147"/>
      <c r="F134" s="147"/>
      <c r="G134" s="147"/>
      <c r="H134" s="147"/>
      <c r="I134" s="220"/>
      <c r="J134" s="220"/>
      <c r="K134" s="221"/>
      <c r="L134" s="151"/>
      <c r="M134" s="151"/>
      <c r="N134" s="151"/>
      <c r="O134" s="151"/>
      <c r="P134" s="151"/>
    </row>
    <row r="135" spans="1:16" ht="19.5" x14ac:dyDescent="0.3">
      <c r="A135" s="152"/>
      <c r="B135" s="153" t="s">
        <v>52</v>
      </c>
      <c r="C135" s="222"/>
      <c r="D135" s="154"/>
      <c r="E135" s="41"/>
      <c r="F135" s="41"/>
      <c r="G135" s="41"/>
      <c r="H135" s="41"/>
      <c r="I135" s="46"/>
      <c r="J135" s="46"/>
      <c r="K135" s="47"/>
      <c r="L135" s="47"/>
      <c r="M135" s="47"/>
      <c r="N135" s="47"/>
      <c r="O135" s="47"/>
      <c r="P135" s="47"/>
    </row>
    <row r="136" spans="1:16" ht="19.5" x14ac:dyDescent="0.3">
      <c r="A136" s="152"/>
      <c r="B136" s="41"/>
      <c r="C136" s="223" t="s">
        <v>53</v>
      </c>
      <c r="D136" s="154"/>
      <c r="E136" s="41"/>
      <c r="F136" s="41"/>
      <c r="G136" s="44"/>
      <c r="H136" s="155" t="s">
        <v>54</v>
      </c>
      <c r="I136" s="156">
        <f t="shared" ref="I136:J136" ca="1" si="61">I154</f>
        <v>5</v>
      </c>
      <c r="J136" s="156">
        <f t="shared" ca="1" si="61"/>
        <v>0</v>
      </c>
      <c r="K136" s="48">
        <f t="shared" ref="K136:K138" ca="1" si="62">IF(I136&gt;0,J136*100/I136,0)</f>
        <v>0</v>
      </c>
      <c r="L136" s="47"/>
      <c r="M136" s="47"/>
      <c r="N136" s="47"/>
      <c r="O136" s="47"/>
      <c r="P136" s="47"/>
    </row>
    <row r="137" spans="1:16" ht="19.5" x14ac:dyDescent="0.3">
      <c r="A137" s="152"/>
      <c r="B137" s="41"/>
      <c r="C137" s="223" t="s">
        <v>55</v>
      </c>
      <c r="D137" s="154"/>
      <c r="E137" s="41"/>
      <c r="F137" s="41"/>
      <c r="G137" s="44"/>
      <c r="H137" s="155" t="s">
        <v>33</v>
      </c>
      <c r="I137" s="156">
        <f t="shared" ref="I137:J137" ca="1" si="63">I152</f>
        <v>200</v>
      </c>
      <c r="J137" s="156">
        <f t="shared" ca="1" si="63"/>
        <v>0</v>
      </c>
      <c r="K137" s="48">
        <f t="shared" ca="1" si="62"/>
        <v>0</v>
      </c>
      <c r="L137" s="47"/>
      <c r="M137" s="47"/>
      <c r="N137" s="47"/>
      <c r="O137" s="47"/>
      <c r="P137" s="47"/>
    </row>
    <row r="138" spans="1:16" ht="19.5" x14ac:dyDescent="0.3">
      <c r="A138" s="152"/>
      <c r="B138" s="41"/>
      <c r="C138" s="223"/>
      <c r="D138" s="154"/>
      <c r="E138" s="41"/>
      <c r="F138" s="41"/>
      <c r="G138" s="44"/>
      <c r="H138" s="224" t="s">
        <v>56</v>
      </c>
      <c r="I138" s="156">
        <f t="shared" ref="I138:J138" ca="1" si="64">I153</f>
        <v>20</v>
      </c>
      <c r="J138" s="156">
        <f t="shared" ca="1" si="64"/>
        <v>0</v>
      </c>
      <c r="K138" s="48">
        <f t="shared" ca="1" si="62"/>
        <v>0</v>
      </c>
      <c r="L138" s="47"/>
      <c r="M138" s="47"/>
      <c r="N138" s="47"/>
      <c r="O138" s="47"/>
      <c r="P138" s="47"/>
    </row>
    <row r="139" spans="1:16" ht="19.5" x14ac:dyDescent="0.3">
      <c r="A139" s="157"/>
      <c r="B139" s="53"/>
      <c r="C139" s="158" t="s">
        <v>16</v>
      </c>
      <c r="D139" s="159" t="s">
        <v>17</v>
      </c>
      <c r="E139" s="53"/>
      <c r="F139" s="53"/>
      <c r="G139" s="55"/>
      <c r="H139" s="160" t="s">
        <v>12</v>
      </c>
      <c r="I139" s="57"/>
      <c r="J139" s="57"/>
      <c r="K139" s="58"/>
      <c r="L139" s="161">
        <f t="shared" ref="L139:N139" ca="1" si="65">L140+L141</f>
        <v>597100</v>
      </c>
      <c r="M139" s="161">
        <f t="shared" ca="1" si="65"/>
        <v>490000</v>
      </c>
      <c r="N139" s="161">
        <f t="shared" ca="1" si="65"/>
        <v>102299.4</v>
      </c>
      <c r="O139" s="161">
        <f t="shared" ref="O139:O147" ca="1" si="66">IF(L139&gt;0,N139*100/L139,0)</f>
        <v>17.132708089097303</v>
      </c>
      <c r="P139" s="161">
        <f t="shared" ref="P139:P147" ca="1" si="67">IF(M139&gt;0,N139*100/M139,0)</f>
        <v>20.87742857142857</v>
      </c>
    </row>
    <row r="140" spans="1:16" ht="18.75" x14ac:dyDescent="0.25">
      <c r="A140" s="157"/>
      <c r="B140" s="53"/>
      <c r="C140" s="53"/>
      <c r="D140" s="53"/>
      <c r="E140" s="60" t="s">
        <v>18</v>
      </c>
      <c r="F140" s="53"/>
      <c r="G140" s="55"/>
      <c r="H140" s="162" t="s">
        <v>12</v>
      </c>
      <c r="I140" s="57"/>
      <c r="J140" s="57"/>
      <c r="K140" s="58"/>
      <c r="L140" s="59">
        <f t="shared" ref="L140:N140" ca="1" si="68">L143+L146</f>
        <v>0</v>
      </c>
      <c r="M140" s="59">
        <f t="shared" ca="1" si="68"/>
        <v>0</v>
      </c>
      <c r="N140" s="59">
        <f t="shared" ca="1" si="68"/>
        <v>0</v>
      </c>
      <c r="O140" s="59">
        <f t="shared" ca="1" si="66"/>
        <v>0</v>
      </c>
      <c r="P140" s="59">
        <f t="shared" ca="1" si="67"/>
        <v>0</v>
      </c>
    </row>
    <row r="141" spans="1:16" ht="18.75" x14ac:dyDescent="0.25">
      <c r="A141" s="157"/>
      <c r="B141" s="53"/>
      <c r="C141" s="53"/>
      <c r="D141" s="53"/>
      <c r="E141" s="60" t="s">
        <v>19</v>
      </c>
      <c r="F141" s="53"/>
      <c r="G141" s="55"/>
      <c r="H141" s="162" t="s">
        <v>12</v>
      </c>
      <c r="I141" s="57"/>
      <c r="J141" s="57"/>
      <c r="K141" s="58"/>
      <c r="L141" s="59">
        <f t="shared" ref="L141:N141" ca="1" si="69">L144+L147</f>
        <v>597100</v>
      </c>
      <c r="M141" s="59">
        <f t="shared" ca="1" si="69"/>
        <v>490000</v>
      </c>
      <c r="N141" s="59">
        <f t="shared" ca="1" si="69"/>
        <v>102299.4</v>
      </c>
      <c r="O141" s="59">
        <f t="shared" ca="1" si="66"/>
        <v>17.132708089097303</v>
      </c>
      <c r="P141" s="59">
        <f t="shared" ca="1" si="67"/>
        <v>20.87742857142857</v>
      </c>
    </row>
    <row r="142" spans="1:16" ht="18.75" x14ac:dyDescent="0.25">
      <c r="A142" s="157"/>
      <c r="B142" s="53"/>
      <c r="C142" s="53"/>
      <c r="D142" s="54" t="s">
        <v>20</v>
      </c>
      <c r="E142" s="53"/>
      <c r="F142" s="53"/>
      <c r="G142" s="55"/>
      <c r="H142" s="163" t="s">
        <v>12</v>
      </c>
      <c r="I142" s="164"/>
      <c r="J142" s="164"/>
      <c r="K142" s="165"/>
      <c r="L142" s="59">
        <f t="shared" ref="L142:N142" ca="1" si="70">L143+L144</f>
        <v>597100</v>
      </c>
      <c r="M142" s="59">
        <f t="shared" ca="1" si="70"/>
        <v>490000</v>
      </c>
      <c r="N142" s="59">
        <f t="shared" ca="1" si="70"/>
        <v>102299.4</v>
      </c>
      <c r="O142" s="59">
        <f t="shared" ca="1" si="66"/>
        <v>17.132708089097303</v>
      </c>
      <c r="P142" s="59">
        <f t="shared" ca="1" si="67"/>
        <v>20.87742857142857</v>
      </c>
    </row>
    <row r="143" spans="1:16" ht="18.75" x14ac:dyDescent="0.25">
      <c r="A143" s="157"/>
      <c r="B143" s="53"/>
      <c r="C143" s="53"/>
      <c r="D143" s="53"/>
      <c r="E143" s="60" t="s">
        <v>34</v>
      </c>
      <c r="F143" s="53"/>
      <c r="G143" s="55"/>
      <c r="H143" s="163" t="s">
        <v>12</v>
      </c>
      <c r="I143" s="164"/>
      <c r="J143" s="164"/>
      <c r="K143" s="165"/>
      <c r="L143" s="59">
        <f ca="1">IFERROR(__xludf.DUMMYFUNCTION("IMPORTRANGE(""https://docs.google.com/spreadsheets/d/1kKUcYdkIfrgTSj8iHHHB2MD2FAtwyyocFgqGQn6ADyI/edit?usp=sharing"",""กระบี่!L143"")+IMPORTRANGE(""https://docs.google.com/spreadsheets/d/1GwtLaSlNZkLk7iDqcyZz22giiy40b_usZZBXYciEN1U/edit?usp=sharing"",""ชุ"&amp;"มพร!L143"")+IMPORTRANGE(""https://docs.google.com/spreadsheets/d/16pAz3pOhQEZBhvFNMa5KGgZS6iKWpsKX0pg6tQmwFpo/edit?usp=sharing"",""ตรัง!L143"")+IMPORTRANGE(""https://docs.google.com/spreadsheets/d/1Dj4jcHCTV9JXKCaMoheSXS52JE63kDKyG7bPXnFogHk/edit?usp=shar"&amp;"ing"",""นครศรีธรรมราช!L143"")+IMPORTRANGE(""https://docs.google.com/spreadsheets/d/1iodCdmuK2GR3jzUwk8tpccY2JHQQA-87DLOtJP-ooyU/edit?usp=sharing"",""นราธิวาส!L143"")+IMPORTRANGE(""https://docs.google.com/spreadsheets/d/1SDNX3JhDdYRuIOsj0Wh2M-Qa_eaXl0NbWmh"&amp;"AOTbfQAs/edit?usp=sharing"",""ปัตตานี!L143"")+IMPORTRANGE(""https://docs.google.com/spreadsheets/d/16JDLGguT8s5DsGCND1KcwHP_AWR_zDMTqLHPLJUKhaU/edit?usp=sharing"",""พังงา!L143"")+IMPORTRANGE(""https://docs.google.com/spreadsheets/d/17ht0gPKzzT3PObBL1XJkeR"&amp;"mntBXI7wGjpLV7QorqlTk/edit?usp=sharing"",""พัทลุง!L143"")+IMPORTRANGE(""https://docs.google.com/spreadsheets/d/1rd4qoM1q_hsgaolqNGfrim9gbsoLxQsda4-vOz5x_BM/edit?usp=sharing"",""ภูเก็ต!L143"")+IMPORTRANGE(""https://docs.google.com/spreadsheets/d/1woKwKjgoL"&amp;"ssDvPcPeVyezB5izizAn4X1JDrys69n6xI/edit?usp=sharing"",""ยะลา!L143"")+IMPORTRANGE(""https://docs.google.com/spreadsheets/d/1qfrKjzMhm2HJfxQ-qVlJlJQ25Hne1d0khsySbZyGtPA/edit?usp=sharing"",""ระนอง!L143"")+IMPORTRANGE(""https://docs.google.com/spreadsheets/d/"&amp;"1IbSCnFOKpZsnFogBHJnL_isstZVaOMnFiIN0fGTPZZw/edit?usp=sharing"",""สงขลา!L143"")+IMPORTRANGE(""https://docs.google.com/spreadsheets/d/1q9nWasZJ-K8bFGvbE9n0qSRuKGA4Toe3Y89cKCiVtCU/edit?usp=sharing"",""สตูล!L143"")+IMPORTRANGE(""https://docs.google.com/sprea"&amp;"dsheets/d/18T20gbkS_WBjdscyTOV05cvq_JqvqQ17C81mpxf7Ncs/edit?usp=sharing"",""สุราษฎร์ธานี!L143"")"),0)</f>
        <v>0</v>
      </c>
      <c r="M143" s="59">
        <f ca="1">IFERROR(__xludf.DUMMYFUNCTION("IMPORTRANGE(""https://docs.google.com/spreadsheets/d/1kKUcYdkIfrgTSj8iHHHB2MD2FAtwyyocFgqGQn6ADyI/edit?usp=sharing"",""กระบี่!M143"")+IMPORTRANGE(""https://docs.google.com/spreadsheets/d/1GwtLaSlNZkLk7iDqcyZz22giiy40b_usZZBXYciEN1U/edit?usp=sharing"",""ชุ"&amp;"มพร!M143"")+IMPORTRANGE(""https://docs.google.com/spreadsheets/d/16pAz3pOhQEZBhvFNMa5KGgZS6iKWpsKX0pg6tQmwFpo/edit?usp=sharing"",""ตรัง!M143"")+IMPORTRANGE(""https://docs.google.com/spreadsheets/d/1Dj4jcHCTV9JXKCaMoheSXS52JE63kDKyG7bPXnFogHk/edit?usp=shar"&amp;"ing"",""นครศรีธรรมราช!M143"")+IMPORTRANGE(""https://docs.google.com/spreadsheets/d/1iodCdmuK2GR3jzUwk8tpccY2JHQQA-87DLOtJP-ooyU/edit?usp=sharing"",""นราธิวาส!M143"")+IMPORTRANGE(""https://docs.google.com/spreadsheets/d/1SDNX3JhDdYRuIOsj0Wh2M-Qa_eaXl0NbWmh"&amp;"AOTbfQAs/edit?usp=sharing"",""ปัตตานี!M143"")+IMPORTRANGE(""https://docs.google.com/spreadsheets/d/16JDLGguT8s5DsGCND1KcwHP_AWR_zDMTqLHPLJUKhaU/edit?usp=sharing"",""พังงา!M143"")+IMPORTRANGE(""https://docs.google.com/spreadsheets/d/17ht0gPKzzT3PObBL1XJkeR"&amp;"mntBXI7wGjpLV7QorqlTk/edit?usp=sharing"",""พัทลุง!M143"")+IMPORTRANGE(""https://docs.google.com/spreadsheets/d/1rd4qoM1q_hsgaolqNGfrim9gbsoLxQsda4-vOz5x_BM/edit?usp=sharing"",""ภูเก็ต!M143"")+IMPORTRANGE(""https://docs.google.com/spreadsheets/d/1woKwKjgoL"&amp;"ssDvPcPeVyezB5izizAn4X1JDrys69n6xI/edit?usp=sharing"",""ยะลา!M143"")+IMPORTRANGE(""https://docs.google.com/spreadsheets/d/1qfrKjzMhm2HJfxQ-qVlJlJQ25Hne1d0khsySbZyGtPA/edit?usp=sharing"",""ระนอง!M143"")+IMPORTRANGE(""https://docs.google.com/spreadsheets/d/"&amp;"1IbSCnFOKpZsnFogBHJnL_isstZVaOMnFiIN0fGTPZZw/edit?usp=sharing"",""สงขลา!M143"")+IMPORTRANGE(""https://docs.google.com/spreadsheets/d/1q9nWasZJ-K8bFGvbE9n0qSRuKGA4Toe3Y89cKCiVtCU/edit?usp=sharing"",""สตูล!M143"")+IMPORTRANGE(""https://docs.google.com/sprea"&amp;"dsheets/d/18T20gbkS_WBjdscyTOV05cvq_JqvqQ17C81mpxf7Ncs/edit?usp=sharing"",""สุราษฎร์ธานี!M143"")"),0)</f>
        <v>0</v>
      </c>
      <c r="N143" s="59">
        <f ca="1">IFERROR(__xludf.DUMMYFUNCTION("IMPORTRANGE(""https://docs.google.com/spreadsheets/d/1kKUcYdkIfrgTSj8iHHHB2MD2FAtwyyocFgqGQn6ADyI/edit?usp=sharing"",""กระบี่!N143"")+IMPORTRANGE(""https://docs.google.com/spreadsheets/d/1GwtLaSlNZkLk7iDqcyZz22giiy40b_usZZBXYciEN1U/edit?usp=sharing"",""ชุ"&amp;"มพร!N143"")+IMPORTRANGE(""https://docs.google.com/spreadsheets/d/16pAz3pOhQEZBhvFNMa5KGgZS6iKWpsKX0pg6tQmwFpo/edit?usp=sharing"",""ตรัง!N143"")+IMPORTRANGE(""https://docs.google.com/spreadsheets/d/1Dj4jcHCTV9JXKCaMoheSXS52JE63kDKyG7bPXnFogHk/edit?usp=shar"&amp;"ing"",""นครศรีธรรมราช!N143"")+IMPORTRANGE(""https://docs.google.com/spreadsheets/d/1iodCdmuK2GR3jzUwk8tpccY2JHQQA-87DLOtJP-ooyU/edit?usp=sharing"",""นราธิวาส!N143"")+IMPORTRANGE(""https://docs.google.com/spreadsheets/d/1SDNX3JhDdYRuIOsj0Wh2M-Qa_eaXl0NbWmh"&amp;"AOTbfQAs/edit?usp=sharing"",""ปัตตานี!N143"")+IMPORTRANGE(""https://docs.google.com/spreadsheets/d/16JDLGguT8s5DsGCND1KcwHP_AWR_zDMTqLHPLJUKhaU/edit?usp=sharing"",""พังงา!N143"")+IMPORTRANGE(""https://docs.google.com/spreadsheets/d/17ht0gPKzzT3PObBL1XJkeR"&amp;"mntBXI7wGjpLV7QorqlTk/edit?usp=sharing"",""พัทลุง!N143"")+IMPORTRANGE(""https://docs.google.com/spreadsheets/d/1rd4qoM1q_hsgaolqNGfrim9gbsoLxQsda4-vOz5x_BM/edit?usp=sharing"",""ภูเก็ต!N143"")+IMPORTRANGE(""https://docs.google.com/spreadsheets/d/1woKwKjgoL"&amp;"ssDvPcPeVyezB5izizAn4X1JDrys69n6xI/edit?usp=sharing"",""ยะลา!N143"")+IMPORTRANGE(""https://docs.google.com/spreadsheets/d/1qfrKjzMhm2HJfxQ-qVlJlJQ25Hne1d0khsySbZyGtPA/edit?usp=sharing"",""ระนอง!N143"")+IMPORTRANGE(""https://docs.google.com/spreadsheets/d/"&amp;"1IbSCnFOKpZsnFogBHJnL_isstZVaOMnFiIN0fGTPZZw/edit?usp=sharing"",""สงขลา!N143"")+IMPORTRANGE(""https://docs.google.com/spreadsheets/d/1q9nWasZJ-K8bFGvbE9n0qSRuKGA4Toe3Y89cKCiVtCU/edit?usp=sharing"",""สตูล!N143"")+IMPORTRANGE(""https://docs.google.com/sprea"&amp;"dsheets/d/18T20gbkS_WBjdscyTOV05cvq_JqvqQ17C81mpxf7Ncs/edit?usp=sharing"",""สุราษฎร์ธานี!N143"")"),0)</f>
        <v>0</v>
      </c>
      <c r="O143" s="59">
        <f t="shared" ca="1" si="66"/>
        <v>0</v>
      </c>
      <c r="P143" s="59">
        <f t="shared" ca="1" si="67"/>
        <v>0</v>
      </c>
    </row>
    <row r="144" spans="1:16" ht="18.75" x14ac:dyDescent="0.25">
      <c r="A144" s="157"/>
      <c r="B144" s="53"/>
      <c r="C144" s="53"/>
      <c r="D144" s="53"/>
      <c r="E144" s="60" t="s">
        <v>35</v>
      </c>
      <c r="F144" s="53"/>
      <c r="G144" s="55"/>
      <c r="H144" s="163" t="s">
        <v>12</v>
      </c>
      <c r="I144" s="164"/>
      <c r="J144" s="164"/>
      <c r="K144" s="165"/>
      <c r="L144" s="59">
        <f ca="1">IFERROR(__xludf.DUMMYFUNCTION("IMPORTRANGE(""https://docs.google.com/spreadsheets/d/1kKUcYdkIfrgTSj8iHHHB2MD2FAtwyyocFgqGQn6ADyI/edit?usp=sharing"",""กระบี่!L144"")+IMPORTRANGE(""https://docs.google.com/spreadsheets/d/1GwtLaSlNZkLk7iDqcyZz22giiy40b_usZZBXYciEN1U/edit?usp=sharing"",""ชุ"&amp;"มพร!L144"")+IMPORTRANGE(""https://docs.google.com/spreadsheets/d/16pAz3pOhQEZBhvFNMa5KGgZS6iKWpsKX0pg6tQmwFpo/edit?usp=sharing"",""ตรัง!L144"")+IMPORTRANGE(""https://docs.google.com/spreadsheets/d/1Dj4jcHCTV9JXKCaMoheSXS52JE63kDKyG7bPXnFogHk/edit?usp=shar"&amp;"ing"",""นครศรีธรรมราช!L144"")+IMPORTRANGE(""https://docs.google.com/spreadsheets/d/1iodCdmuK2GR3jzUwk8tpccY2JHQQA-87DLOtJP-ooyU/edit?usp=sharing"",""นราธิวาส!L144"")+IMPORTRANGE(""https://docs.google.com/spreadsheets/d/1SDNX3JhDdYRuIOsj0Wh2M-Qa_eaXl0NbWmh"&amp;"AOTbfQAs/edit?usp=sharing"",""ปัตตานี!L144"")+IMPORTRANGE(""https://docs.google.com/spreadsheets/d/16JDLGguT8s5DsGCND1KcwHP_AWR_zDMTqLHPLJUKhaU/edit?usp=sharing"",""พังงา!L144"")+IMPORTRANGE(""https://docs.google.com/spreadsheets/d/17ht0gPKzzT3PObBL1XJkeR"&amp;"mntBXI7wGjpLV7QorqlTk/edit?usp=sharing"",""พัทลุง!L144"")+IMPORTRANGE(""https://docs.google.com/spreadsheets/d/1rd4qoM1q_hsgaolqNGfrim9gbsoLxQsda4-vOz5x_BM/edit?usp=sharing"",""ภูเก็ต!L144"")+IMPORTRANGE(""https://docs.google.com/spreadsheets/d/1woKwKjgoL"&amp;"ssDvPcPeVyezB5izizAn4X1JDrys69n6xI/edit?usp=sharing"",""ยะลา!L144"")+IMPORTRANGE(""https://docs.google.com/spreadsheets/d/1qfrKjzMhm2HJfxQ-qVlJlJQ25Hne1d0khsySbZyGtPA/edit?usp=sharing"",""ระนอง!L144"")+IMPORTRANGE(""https://docs.google.com/spreadsheets/d/"&amp;"1IbSCnFOKpZsnFogBHJnL_isstZVaOMnFiIN0fGTPZZw/edit?usp=sharing"",""สงขลา!L144"")+IMPORTRANGE(""https://docs.google.com/spreadsheets/d/1q9nWasZJ-K8bFGvbE9n0qSRuKGA4Toe3Y89cKCiVtCU/edit?usp=sharing"",""สตูล!L144"")+IMPORTRANGE(""https://docs.google.com/sprea"&amp;"dsheets/d/18T20gbkS_WBjdscyTOV05cvq_JqvqQ17C81mpxf7Ncs/edit?usp=sharing"",""สุราษฎร์ธานี!L144"")"),597100)</f>
        <v>597100</v>
      </c>
      <c r="M144" s="59">
        <f ca="1">IFERROR(__xludf.DUMMYFUNCTION("IMPORTRANGE(""https://docs.google.com/spreadsheets/d/1kKUcYdkIfrgTSj8iHHHB2MD2FAtwyyocFgqGQn6ADyI/edit?usp=sharing"",""กระบี่!M144"")+IMPORTRANGE(""https://docs.google.com/spreadsheets/d/1GwtLaSlNZkLk7iDqcyZz22giiy40b_usZZBXYciEN1U/edit?usp=sharing"",""ชุ"&amp;"มพร!M144"")+IMPORTRANGE(""https://docs.google.com/spreadsheets/d/16pAz3pOhQEZBhvFNMa5KGgZS6iKWpsKX0pg6tQmwFpo/edit?usp=sharing"",""ตรัง!M144"")+IMPORTRANGE(""https://docs.google.com/spreadsheets/d/1Dj4jcHCTV9JXKCaMoheSXS52JE63kDKyG7bPXnFogHk/edit?usp=shar"&amp;"ing"",""นครศรีธรรมราช!M144"")+IMPORTRANGE(""https://docs.google.com/spreadsheets/d/1iodCdmuK2GR3jzUwk8tpccY2JHQQA-87DLOtJP-ooyU/edit?usp=sharing"",""นราธิวาส!M144"")+IMPORTRANGE(""https://docs.google.com/spreadsheets/d/1SDNX3JhDdYRuIOsj0Wh2M-Qa_eaXl0NbWmh"&amp;"AOTbfQAs/edit?usp=sharing"",""ปัตตานี!M144"")+IMPORTRANGE(""https://docs.google.com/spreadsheets/d/16JDLGguT8s5DsGCND1KcwHP_AWR_zDMTqLHPLJUKhaU/edit?usp=sharing"",""พังงา!M144"")+IMPORTRANGE(""https://docs.google.com/spreadsheets/d/17ht0gPKzzT3PObBL1XJkeR"&amp;"mntBXI7wGjpLV7QorqlTk/edit?usp=sharing"",""พัทลุง!M144"")+IMPORTRANGE(""https://docs.google.com/spreadsheets/d/1rd4qoM1q_hsgaolqNGfrim9gbsoLxQsda4-vOz5x_BM/edit?usp=sharing"",""ภูเก็ต!M144"")+IMPORTRANGE(""https://docs.google.com/spreadsheets/d/1woKwKjgoL"&amp;"ssDvPcPeVyezB5izizAn4X1JDrys69n6xI/edit?usp=sharing"",""ยะลา!M144"")+IMPORTRANGE(""https://docs.google.com/spreadsheets/d/1qfrKjzMhm2HJfxQ-qVlJlJQ25Hne1d0khsySbZyGtPA/edit?usp=sharing"",""ระนอง!M144"")+IMPORTRANGE(""https://docs.google.com/spreadsheets/d/"&amp;"1IbSCnFOKpZsnFogBHJnL_isstZVaOMnFiIN0fGTPZZw/edit?usp=sharing"",""สงขลา!M144"")+IMPORTRANGE(""https://docs.google.com/spreadsheets/d/1q9nWasZJ-K8bFGvbE9n0qSRuKGA4Toe3Y89cKCiVtCU/edit?usp=sharing"",""สตูล!M144"")+IMPORTRANGE(""https://docs.google.com/sprea"&amp;"dsheets/d/18T20gbkS_WBjdscyTOV05cvq_JqvqQ17C81mpxf7Ncs/edit?usp=sharing"",""สุราษฎร์ธานี!M144"")"),490000)</f>
        <v>490000</v>
      </c>
      <c r="N144" s="59">
        <f ca="1">IFERROR(__xludf.DUMMYFUNCTION("IMPORTRANGE(""https://docs.google.com/spreadsheets/d/1kKUcYdkIfrgTSj8iHHHB2MD2FAtwyyocFgqGQn6ADyI/edit?usp=sharing"",""กระบี่!N144"")+IMPORTRANGE(""https://docs.google.com/spreadsheets/d/1GwtLaSlNZkLk7iDqcyZz22giiy40b_usZZBXYciEN1U/edit?usp=sharing"",""ชุ"&amp;"มพร!N144"")+IMPORTRANGE(""https://docs.google.com/spreadsheets/d/16pAz3pOhQEZBhvFNMa5KGgZS6iKWpsKX0pg6tQmwFpo/edit?usp=sharing"",""ตรัง!N144"")+IMPORTRANGE(""https://docs.google.com/spreadsheets/d/1Dj4jcHCTV9JXKCaMoheSXS52JE63kDKyG7bPXnFogHk/edit?usp=shar"&amp;"ing"",""นครศรีธรรมราช!N144"")+IMPORTRANGE(""https://docs.google.com/spreadsheets/d/1iodCdmuK2GR3jzUwk8tpccY2JHQQA-87DLOtJP-ooyU/edit?usp=sharing"",""นราธิวาส!N144"")+IMPORTRANGE(""https://docs.google.com/spreadsheets/d/1SDNX3JhDdYRuIOsj0Wh2M-Qa_eaXl0NbWmh"&amp;"AOTbfQAs/edit?usp=sharing"",""ปัตตานี!N144"")+IMPORTRANGE(""https://docs.google.com/spreadsheets/d/16JDLGguT8s5DsGCND1KcwHP_AWR_zDMTqLHPLJUKhaU/edit?usp=sharing"",""พังงา!N144"")+IMPORTRANGE(""https://docs.google.com/spreadsheets/d/17ht0gPKzzT3PObBL1XJkeR"&amp;"mntBXI7wGjpLV7QorqlTk/edit?usp=sharing"",""พัทลุง!N144"")+IMPORTRANGE(""https://docs.google.com/spreadsheets/d/1rd4qoM1q_hsgaolqNGfrim9gbsoLxQsda4-vOz5x_BM/edit?usp=sharing"",""ภูเก็ต!N144"")+IMPORTRANGE(""https://docs.google.com/spreadsheets/d/1woKwKjgoL"&amp;"ssDvPcPeVyezB5izizAn4X1JDrys69n6xI/edit?usp=sharing"",""ยะลา!N144"")+IMPORTRANGE(""https://docs.google.com/spreadsheets/d/1qfrKjzMhm2HJfxQ-qVlJlJQ25Hne1d0khsySbZyGtPA/edit?usp=sharing"",""ระนอง!N144"")+IMPORTRANGE(""https://docs.google.com/spreadsheets/d/"&amp;"1IbSCnFOKpZsnFogBHJnL_isstZVaOMnFiIN0fGTPZZw/edit?usp=sharing"",""สงขลา!N144"")+IMPORTRANGE(""https://docs.google.com/spreadsheets/d/1q9nWasZJ-K8bFGvbE9n0qSRuKGA4Toe3Y89cKCiVtCU/edit?usp=sharing"",""สตูล!N144"")+IMPORTRANGE(""https://docs.google.com/sprea"&amp;"dsheets/d/18T20gbkS_WBjdscyTOV05cvq_JqvqQ17C81mpxf7Ncs/edit?usp=sharing"",""สุราษฎร์ธานี!N144"")"),102299.4)</f>
        <v>102299.4</v>
      </c>
      <c r="O144" s="59">
        <f t="shared" ca="1" si="66"/>
        <v>17.132708089097303</v>
      </c>
      <c r="P144" s="59">
        <f t="shared" ca="1" si="67"/>
        <v>20.87742857142857</v>
      </c>
    </row>
    <row r="145" spans="1:16" ht="18.75" x14ac:dyDescent="0.25">
      <c r="A145" s="157"/>
      <c r="B145" s="53"/>
      <c r="C145" s="53"/>
      <c r="D145" s="54" t="s">
        <v>21</v>
      </c>
      <c r="E145" s="53"/>
      <c r="F145" s="53"/>
      <c r="G145" s="55"/>
      <c r="H145" s="166" t="s">
        <v>12</v>
      </c>
      <c r="I145" s="164"/>
      <c r="J145" s="164"/>
      <c r="K145" s="165"/>
      <c r="L145" s="59">
        <f t="shared" ref="L145:N145" ca="1" si="71">L146+L147</f>
        <v>0</v>
      </c>
      <c r="M145" s="59">
        <f t="shared" ca="1" si="71"/>
        <v>0</v>
      </c>
      <c r="N145" s="59">
        <f t="shared" ca="1" si="71"/>
        <v>0</v>
      </c>
      <c r="O145" s="59">
        <f t="shared" ca="1" si="66"/>
        <v>0</v>
      </c>
      <c r="P145" s="59">
        <f t="shared" ca="1" si="67"/>
        <v>0</v>
      </c>
    </row>
    <row r="146" spans="1:16" ht="18.75" x14ac:dyDescent="0.25">
      <c r="A146" s="157"/>
      <c r="B146" s="53"/>
      <c r="C146" s="53"/>
      <c r="D146" s="53"/>
      <c r="E146" s="60" t="s">
        <v>18</v>
      </c>
      <c r="F146" s="53"/>
      <c r="G146" s="55"/>
      <c r="H146" s="163" t="s">
        <v>12</v>
      </c>
      <c r="I146" s="164"/>
      <c r="J146" s="164"/>
      <c r="K146" s="165"/>
      <c r="L146" s="59">
        <f ca="1">IFERROR(__xludf.DUMMYFUNCTION("IMPORTRANGE(""https://docs.google.com/spreadsheets/d/1kKUcYdkIfrgTSj8iHHHB2MD2FAtwyyocFgqGQn6ADyI/edit?usp=sharing"",""กระบี่!L146"")+IMPORTRANGE(""https://docs.google.com/spreadsheets/d/1GwtLaSlNZkLk7iDqcyZz22giiy40b_usZZBXYciEN1U/edit?usp=sharing"",""ชุ"&amp;"มพร!L146"")+IMPORTRANGE(""https://docs.google.com/spreadsheets/d/16pAz3pOhQEZBhvFNMa5KGgZS6iKWpsKX0pg6tQmwFpo/edit?usp=sharing"",""ตรัง!L146"")+IMPORTRANGE(""https://docs.google.com/spreadsheets/d/1Dj4jcHCTV9JXKCaMoheSXS52JE63kDKyG7bPXnFogHk/edit?usp=shar"&amp;"ing"",""นครศรีธรรมราช!L146"")+IMPORTRANGE(""https://docs.google.com/spreadsheets/d/1iodCdmuK2GR3jzUwk8tpccY2JHQQA-87DLOtJP-ooyU/edit?usp=sharing"",""นราธิวาส!L146"")+IMPORTRANGE(""https://docs.google.com/spreadsheets/d/1SDNX3JhDdYRuIOsj0Wh2M-Qa_eaXl0NbWmh"&amp;"AOTbfQAs/edit?usp=sharing"",""ปัตตานี!L146"")+IMPORTRANGE(""https://docs.google.com/spreadsheets/d/16JDLGguT8s5DsGCND1KcwHP_AWR_zDMTqLHPLJUKhaU/edit?usp=sharing"",""พังงา!L146"")+IMPORTRANGE(""https://docs.google.com/spreadsheets/d/17ht0gPKzzT3PObBL1XJkeR"&amp;"mntBXI7wGjpLV7QorqlTk/edit?usp=sharing"",""พัทลุง!L146"")+IMPORTRANGE(""https://docs.google.com/spreadsheets/d/1rd4qoM1q_hsgaolqNGfrim9gbsoLxQsda4-vOz5x_BM/edit?usp=sharing"",""ภูเก็ต!L146"")+IMPORTRANGE(""https://docs.google.com/spreadsheets/d/1woKwKjgoL"&amp;"ssDvPcPeVyezB5izizAn4X1JDrys69n6xI/edit?usp=sharing"",""ยะลา!L146"")+IMPORTRANGE(""https://docs.google.com/spreadsheets/d/1qfrKjzMhm2HJfxQ-qVlJlJQ25Hne1d0khsySbZyGtPA/edit?usp=sharing"",""ระนอง!L146"")+IMPORTRANGE(""https://docs.google.com/spreadsheets/d/"&amp;"1IbSCnFOKpZsnFogBHJnL_isstZVaOMnFiIN0fGTPZZw/edit?usp=sharing"",""สงขลา!L146"")+IMPORTRANGE(""https://docs.google.com/spreadsheets/d/1q9nWasZJ-K8bFGvbE9n0qSRuKGA4Toe3Y89cKCiVtCU/edit?usp=sharing"",""สตูล!L146"")+IMPORTRANGE(""https://docs.google.com/sprea"&amp;"dsheets/d/18T20gbkS_WBjdscyTOV05cvq_JqvqQ17C81mpxf7Ncs/edit?usp=sharing"",""สุราษฎร์ธานี!L146"")"),0)</f>
        <v>0</v>
      </c>
      <c r="M146" s="59">
        <f ca="1">IFERROR(__xludf.DUMMYFUNCTION("IMPORTRANGE(""https://docs.google.com/spreadsheets/d/1kKUcYdkIfrgTSj8iHHHB2MD2FAtwyyocFgqGQn6ADyI/edit?usp=sharing"",""กระบี่!M146"")+IMPORTRANGE(""https://docs.google.com/spreadsheets/d/1GwtLaSlNZkLk7iDqcyZz22giiy40b_usZZBXYciEN1U/edit?usp=sharing"",""ชุ"&amp;"มพร!M146"")+IMPORTRANGE(""https://docs.google.com/spreadsheets/d/16pAz3pOhQEZBhvFNMa5KGgZS6iKWpsKX0pg6tQmwFpo/edit?usp=sharing"",""ตรัง!M146"")+IMPORTRANGE(""https://docs.google.com/spreadsheets/d/1Dj4jcHCTV9JXKCaMoheSXS52JE63kDKyG7bPXnFogHk/edit?usp=shar"&amp;"ing"",""นครศรีธรรมราช!M146"")+IMPORTRANGE(""https://docs.google.com/spreadsheets/d/1iodCdmuK2GR3jzUwk8tpccY2JHQQA-87DLOtJP-ooyU/edit?usp=sharing"",""นราธิวาส!M146"")+IMPORTRANGE(""https://docs.google.com/spreadsheets/d/1SDNX3JhDdYRuIOsj0Wh2M-Qa_eaXl0NbWmh"&amp;"AOTbfQAs/edit?usp=sharing"",""ปัตตานี!M146"")+IMPORTRANGE(""https://docs.google.com/spreadsheets/d/16JDLGguT8s5DsGCND1KcwHP_AWR_zDMTqLHPLJUKhaU/edit?usp=sharing"",""พังงา!M146"")+IMPORTRANGE(""https://docs.google.com/spreadsheets/d/17ht0gPKzzT3PObBL1XJkeR"&amp;"mntBXI7wGjpLV7QorqlTk/edit?usp=sharing"",""พัทลุง!M146"")+IMPORTRANGE(""https://docs.google.com/spreadsheets/d/1rd4qoM1q_hsgaolqNGfrim9gbsoLxQsda4-vOz5x_BM/edit?usp=sharing"",""ภูเก็ต!M146"")+IMPORTRANGE(""https://docs.google.com/spreadsheets/d/1woKwKjgoL"&amp;"ssDvPcPeVyezB5izizAn4X1JDrys69n6xI/edit?usp=sharing"",""ยะลา!M146"")+IMPORTRANGE(""https://docs.google.com/spreadsheets/d/1qfrKjzMhm2HJfxQ-qVlJlJQ25Hne1d0khsySbZyGtPA/edit?usp=sharing"",""ระนอง!M146"")+IMPORTRANGE(""https://docs.google.com/spreadsheets/d/"&amp;"1IbSCnFOKpZsnFogBHJnL_isstZVaOMnFiIN0fGTPZZw/edit?usp=sharing"",""สงขลา!M146"")+IMPORTRANGE(""https://docs.google.com/spreadsheets/d/1q9nWasZJ-K8bFGvbE9n0qSRuKGA4Toe3Y89cKCiVtCU/edit?usp=sharing"",""สตูล!M146"")+IMPORTRANGE(""https://docs.google.com/sprea"&amp;"dsheets/d/18T20gbkS_WBjdscyTOV05cvq_JqvqQ17C81mpxf7Ncs/edit?usp=sharing"",""สุราษฎร์ธานี!M146"")"),0)</f>
        <v>0</v>
      </c>
      <c r="N146" s="59">
        <f ca="1">IFERROR(__xludf.DUMMYFUNCTION("IMPORTRANGE(""https://docs.google.com/spreadsheets/d/1kKUcYdkIfrgTSj8iHHHB2MD2FAtwyyocFgqGQn6ADyI/edit?usp=sharing"",""กระบี่!N146"")+IMPORTRANGE(""https://docs.google.com/spreadsheets/d/1GwtLaSlNZkLk7iDqcyZz22giiy40b_usZZBXYciEN1U/edit?usp=sharing"",""ชุ"&amp;"มพร!N146"")+IMPORTRANGE(""https://docs.google.com/spreadsheets/d/16pAz3pOhQEZBhvFNMa5KGgZS6iKWpsKX0pg6tQmwFpo/edit?usp=sharing"",""ตรัง!N146"")+IMPORTRANGE(""https://docs.google.com/spreadsheets/d/1Dj4jcHCTV9JXKCaMoheSXS52JE63kDKyG7bPXnFogHk/edit?usp=shar"&amp;"ing"",""นครศรีธรรมราช!N146"")+IMPORTRANGE(""https://docs.google.com/spreadsheets/d/1iodCdmuK2GR3jzUwk8tpccY2JHQQA-87DLOtJP-ooyU/edit?usp=sharing"",""นราธิวาส!N146"")+IMPORTRANGE(""https://docs.google.com/spreadsheets/d/1SDNX3JhDdYRuIOsj0Wh2M-Qa_eaXl0NbWmh"&amp;"AOTbfQAs/edit?usp=sharing"",""ปัตตานี!N146"")+IMPORTRANGE(""https://docs.google.com/spreadsheets/d/16JDLGguT8s5DsGCND1KcwHP_AWR_zDMTqLHPLJUKhaU/edit?usp=sharing"",""พังงา!N146"")+IMPORTRANGE(""https://docs.google.com/spreadsheets/d/17ht0gPKzzT3PObBL1XJkeR"&amp;"mntBXI7wGjpLV7QorqlTk/edit?usp=sharing"",""พัทลุง!N146"")+IMPORTRANGE(""https://docs.google.com/spreadsheets/d/1rd4qoM1q_hsgaolqNGfrim9gbsoLxQsda4-vOz5x_BM/edit?usp=sharing"",""ภูเก็ต!N146"")+IMPORTRANGE(""https://docs.google.com/spreadsheets/d/1woKwKjgoL"&amp;"ssDvPcPeVyezB5izizAn4X1JDrys69n6xI/edit?usp=sharing"",""ยะลา!N146"")+IMPORTRANGE(""https://docs.google.com/spreadsheets/d/1qfrKjzMhm2HJfxQ-qVlJlJQ25Hne1d0khsySbZyGtPA/edit?usp=sharing"",""ระนอง!N146"")+IMPORTRANGE(""https://docs.google.com/spreadsheets/d/"&amp;"1IbSCnFOKpZsnFogBHJnL_isstZVaOMnFiIN0fGTPZZw/edit?usp=sharing"",""สงขลา!N146"")+IMPORTRANGE(""https://docs.google.com/spreadsheets/d/1q9nWasZJ-K8bFGvbE9n0qSRuKGA4Toe3Y89cKCiVtCU/edit?usp=sharing"",""สตูล!N146"")+IMPORTRANGE(""https://docs.google.com/sprea"&amp;"dsheets/d/18T20gbkS_WBjdscyTOV05cvq_JqvqQ17C81mpxf7Ncs/edit?usp=sharing"",""สุราษฎร์ธานี!N146"")"),0)</f>
        <v>0</v>
      </c>
      <c r="O146" s="59">
        <f t="shared" ca="1" si="66"/>
        <v>0</v>
      </c>
      <c r="P146" s="59">
        <f t="shared" ca="1" si="67"/>
        <v>0</v>
      </c>
    </row>
    <row r="147" spans="1:16" ht="18.75" x14ac:dyDescent="0.25">
      <c r="A147" s="157"/>
      <c r="B147" s="53"/>
      <c r="C147" s="53"/>
      <c r="D147" s="53"/>
      <c r="E147" s="60" t="s">
        <v>19</v>
      </c>
      <c r="F147" s="53"/>
      <c r="G147" s="55"/>
      <c r="H147" s="166" t="s">
        <v>12</v>
      </c>
      <c r="I147" s="164"/>
      <c r="J147" s="164"/>
      <c r="K147" s="165"/>
      <c r="L147" s="59">
        <f ca="1">IFERROR(__xludf.DUMMYFUNCTION("IMPORTRANGE(""https://docs.google.com/spreadsheets/d/1kKUcYdkIfrgTSj8iHHHB2MD2FAtwyyocFgqGQn6ADyI/edit?usp=sharing"",""กระบี่!L147"")+IMPORTRANGE(""https://docs.google.com/spreadsheets/d/1GwtLaSlNZkLk7iDqcyZz22giiy40b_usZZBXYciEN1U/edit?usp=sharing"",""ชุ"&amp;"มพร!L147"")+IMPORTRANGE(""https://docs.google.com/spreadsheets/d/16pAz3pOhQEZBhvFNMa5KGgZS6iKWpsKX0pg6tQmwFpo/edit?usp=sharing"",""ตรัง!L147"")+IMPORTRANGE(""https://docs.google.com/spreadsheets/d/1Dj4jcHCTV9JXKCaMoheSXS52JE63kDKyG7bPXnFogHk/edit?usp=shar"&amp;"ing"",""นครศรีธรรมราช!L147"")+IMPORTRANGE(""https://docs.google.com/spreadsheets/d/1iodCdmuK2GR3jzUwk8tpccY2JHQQA-87DLOtJP-ooyU/edit?usp=sharing"",""นราธิวาส!L147"")+IMPORTRANGE(""https://docs.google.com/spreadsheets/d/1SDNX3JhDdYRuIOsj0Wh2M-Qa_eaXl0NbWmh"&amp;"AOTbfQAs/edit?usp=sharing"",""ปัตตานี!L147"")+IMPORTRANGE(""https://docs.google.com/spreadsheets/d/16JDLGguT8s5DsGCND1KcwHP_AWR_zDMTqLHPLJUKhaU/edit?usp=sharing"",""พังงา!L147"")+IMPORTRANGE(""https://docs.google.com/spreadsheets/d/17ht0gPKzzT3PObBL1XJkeR"&amp;"mntBXI7wGjpLV7QorqlTk/edit?usp=sharing"",""พัทลุง!L147"")+IMPORTRANGE(""https://docs.google.com/spreadsheets/d/1rd4qoM1q_hsgaolqNGfrim9gbsoLxQsda4-vOz5x_BM/edit?usp=sharing"",""ภูเก็ต!L147"")+IMPORTRANGE(""https://docs.google.com/spreadsheets/d/1woKwKjgoL"&amp;"ssDvPcPeVyezB5izizAn4X1JDrys69n6xI/edit?usp=sharing"",""ยะลา!L147"")+IMPORTRANGE(""https://docs.google.com/spreadsheets/d/1qfrKjzMhm2HJfxQ-qVlJlJQ25Hne1d0khsySbZyGtPA/edit?usp=sharing"",""ระนอง!L147"")+IMPORTRANGE(""https://docs.google.com/spreadsheets/d/"&amp;"1IbSCnFOKpZsnFogBHJnL_isstZVaOMnFiIN0fGTPZZw/edit?usp=sharing"",""สงขลา!L147"")+IMPORTRANGE(""https://docs.google.com/spreadsheets/d/1q9nWasZJ-K8bFGvbE9n0qSRuKGA4Toe3Y89cKCiVtCU/edit?usp=sharing"",""สตูล!L147"")+IMPORTRANGE(""https://docs.google.com/sprea"&amp;"dsheets/d/18T20gbkS_WBjdscyTOV05cvq_JqvqQ17C81mpxf7Ncs/edit?usp=sharing"",""สุราษฎร์ธานี!L147"")"),0)</f>
        <v>0</v>
      </c>
      <c r="M147" s="59">
        <f ca="1">IFERROR(__xludf.DUMMYFUNCTION("IMPORTRANGE(""https://docs.google.com/spreadsheets/d/1kKUcYdkIfrgTSj8iHHHB2MD2FAtwyyocFgqGQn6ADyI/edit?usp=sharing"",""กระบี่!M147"")+IMPORTRANGE(""https://docs.google.com/spreadsheets/d/1GwtLaSlNZkLk7iDqcyZz22giiy40b_usZZBXYciEN1U/edit?usp=sharing"",""ชุ"&amp;"มพร!M147"")+IMPORTRANGE(""https://docs.google.com/spreadsheets/d/16pAz3pOhQEZBhvFNMa5KGgZS6iKWpsKX0pg6tQmwFpo/edit?usp=sharing"",""ตรัง!M147"")+IMPORTRANGE(""https://docs.google.com/spreadsheets/d/1Dj4jcHCTV9JXKCaMoheSXS52JE63kDKyG7bPXnFogHk/edit?usp=shar"&amp;"ing"",""นครศรีธรรมราช!M147"")+IMPORTRANGE(""https://docs.google.com/spreadsheets/d/1iodCdmuK2GR3jzUwk8tpccY2JHQQA-87DLOtJP-ooyU/edit?usp=sharing"",""นราธิวาส!M147"")+IMPORTRANGE(""https://docs.google.com/spreadsheets/d/1SDNX3JhDdYRuIOsj0Wh2M-Qa_eaXl0NbWmh"&amp;"AOTbfQAs/edit?usp=sharing"",""ปัตตานี!M147"")+IMPORTRANGE(""https://docs.google.com/spreadsheets/d/16JDLGguT8s5DsGCND1KcwHP_AWR_zDMTqLHPLJUKhaU/edit?usp=sharing"",""พังงา!M147"")+IMPORTRANGE(""https://docs.google.com/spreadsheets/d/17ht0gPKzzT3PObBL1XJkeR"&amp;"mntBXI7wGjpLV7QorqlTk/edit?usp=sharing"",""พัทลุง!M147"")+IMPORTRANGE(""https://docs.google.com/spreadsheets/d/1rd4qoM1q_hsgaolqNGfrim9gbsoLxQsda4-vOz5x_BM/edit?usp=sharing"",""ภูเก็ต!M147"")+IMPORTRANGE(""https://docs.google.com/spreadsheets/d/1woKwKjgoL"&amp;"ssDvPcPeVyezB5izizAn4X1JDrys69n6xI/edit?usp=sharing"",""ยะลา!M147"")+IMPORTRANGE(""https://docs.google.com/spreadsheets/d/1qfrKjzMhm2HJfxQ-qVlJlJQ25Hne1d0khsySbZyGtPA/edit?usp=sharing"",""ระนอง!M147"")+IMPORTRANGE(""https://docs.google.com/spreadsheets/d/"&amp;"1IbSCnFOKpZsnFogBHJnL_isstZVaOMnFiIN0fGTPZZw/edit?usp=sharing"",""สงขลา!M147"")+IMPORTRANGE(""https://docs.google.com/spreadsheets/d/1q9nWasZJ-K8bFGvbE9n0qSRuKGA4Toe3Y89cKCiVtCU/edit?usp=sharing"",""สตูล!M147"")+IMPORTRANGE(""https://docs.google.com/sprea"&amp;"dsheets/d/18T20gbkS_WBjdscyTOV05cvq_JqvqQ17C81mpxf7Ncs/edit?usp=sharing"",""สุราษฎร์ธานี!M147"")"),0)</f>
        <v>0</v>
      </c>
      <c r="N147" s="59">
        <f ca="1">IFERROR(__xludf.DUMMYFUNCTION("IMPORTRANGE(""https://docs.google.com/spreadsheets/d/1kKUcYdkIfrgTSj8iHHHB2MD2FAtwyyocFgqGQn6ADyI/edit?usp=sharing"",""กระบี่!N147"")+IMPORTRANGE(""https://docs.google.com/spreadsheets/d/1GwtLaSlNZkLk7iDqcyZz22giiy40b_usZZBXYciEN1U/edit?usp=sharing"",""ชุ"&amp;"มพร!N147"")+IMPORTRANGE(""https://docs.google.com/spreadsheets/d/16pAz3pOhQEZBhvFNMa5KGgZS6iKWpsKX0pg6tQmwFpo/edit?usp=sharing"",""ตรัง!N147"")+IMPORTRANGE(""https://docs.google.com/spreadsheets/d/1Dj4jcHCTV9JXKCaMoheSXS52JE63kDKyG7bPXnFogHk/edit?usp=shar"&amp;"ing"",""นครศรีธรรมราช!N147"")+IMPORTRANGE(""https://docs.google.com/spreadsheets/d/1iodCdmuK2GR3jzUwk8tpccY2JHQQA-87DLOtJP-ooyU/edit?usp=sharing"",""นราธิวาส!N147"")+IMPORTRANGE(""https://docs.google.com/spreadsheets/d/1SDNX3JhDdYRuIOsj0Wh2M-Qa_eaXl0NbWmh"&amp;"AOTbfQAs/edit?usp=sharing"",""ปัตตานี!N147"")+IMPORTRANGE(""https://docs.google.com/spreadsheets/d/16JDLGguT8s5DsGCND1KcwHP_AWR_zDMTqLHPLJUKhaU/edit?usp=sharing"",""พังงา!N147"")+IMPORTRANGE(""https://docs.google.com/spreadsheets/d/17ht0gPKzzT3PObBL1XJkeR"&amp;"mntBXI7wGjpLV7QorqlTk/edit?usp=sharing"",""พัทลุง!N147"")+IMPORTRANGE(""https://docs.google.com/spreadsheets/d/1rd4qoM1q_hsgaolqNGfrim9gbsoLxQsda4-vOz5x_BM/edit?usp=sharing"",""ภูเก็ต!N147"")+IMPORTRANGE(""https://docs.google.com/spreadsheets/d/1woKwKjgoL"&amp;"ssDvPcPeVyezB5izizAn4X1JDrys69n6xI/edit?usp=sharing"",""ยะลา!N147"")+IMPORTRANGE(""https://docs.google.com/spreadsheets/d/1qfrKjzMhm2HJfxQ-qVlJlJQ25Hne1d0khsySbZyGtPA/edit?usp=sharing"",""ระนอง!N147"")+IMPORTRANGE(""https://docs.google.com/spreadsheets/d/"&amp;"1IbSCnFOKpZsnFogBHJnL_isstZVaOMnFiIN0fGTPZZw/edit?usp=sharing"",""สงขลา!N147"")+IMPORTRANGE(""https://docs.google.com/spreadsheets/d/1q9nWasZJ-K8bFGvbE9n0qSRuKGA4Toe3Y89cKCiVtCU/edit?usp=sharing"",""สตูล!N147"")+IMPORTRANGE(""https://docs.google.com/sprea"&amp;"dsheets/d/18T20gbkS_WBjdscyTOV05cvq_JqvqQ17C81mpxf7Ncs/edit?usp=sharing"",""สุราษฎร์ธานี!N147"")"),0)</f>
        <v>0</v>
      </c>
      <c r="O147" s="59">
        <f t="shared" ca="1" si="66"/>
        <v>0</v>
      </c>
      <c r="P147" s="59">
        <f t="shared" ca="1" si="67"/>
        <v>0</v>
      </c>
    </row>
    <row r="148" spans="1:16" ht="19.5" x14ac:dyDescent="0.3">
      <c r="A148" s="167"/>
      <c r="B148" s="168"/>
      <c r="C148" s="158" t="s">
        <v>16</v>
      </c>
      <c r="D148" s="169" t="s">
        <v>36</v>
      </c>
      <c r="E148" s="170"/>
      <c r="F148" s="170"/>
      <c r="G148" s="171"/>
      <c r="H148" s="225"/>
      <c r="I148" s="57"/>
      <c r="J148" s="57"/>
      <c r="K148" s="58"/>
      <c r="L148" s="58"/>
      <c r="M148" s="58"/>
      <c r="N148" s="58"/>
      <c r="O148" s="58"/>
      <c r="P148" s="58"/>
    </row>
    <row r="149" spans="1:16" ht="18.75" x14ac:dyDescent="0.25">
      <c r="A149" s="157"/>
      <c r="B149" s="53"/>
      <c r="C149" s="53"/>
      <c r="D149" s="60" t="s">
        <v>57</v>
      </c>
      <c r="E149" s="53"/>
      <c r="F149" s="53"/>
      <c r="G149" s="55"/>
      <c r="H149" s="225"/>
      <c r="I149" s="57"/>
      <c r="J149" s="194">
        <f ca="1">IFERROR(__xludf.DUMMYFUNCTION("IMPORTRANGE(""https://docs.google.com/spreadsheets/d/1kKUcYdkIfrgTSj8iHHHB2MD2FAtwyyocFgqGQn6ADyI/edit?usp=sharing"",""กระบี่!J149"")+IMPORTRANGE(""https://docs.google.com/spreadsheets/d/1GwtLaSlNZkLk7iDqcyZz22giiy40b_usZZBXYciEN1U/edit?usp=sharing"",""ชุ"&amp;"มพร!J149"")+IMPORTRANGE(""https://docs.google.com/spreadsheets/d/16pAz3pOhQEZBhvFNMa5KGgZS6iKWpsKX0pg6tQmwFpo/edit?usp=sharing"",""ตรัง!J149"")+IMPORTRANGE(""https://docs.google.com/spreadsheets/d/1Dj4jcHCTV9JXKCaMoheSXS52JE63kDKyG7bPXnFogHk/edit?usp=shar"&amp;"ing"",""นครศรีธรรมราช!J149"")+IMPORTRANGE(""https://docs.google.com/spreadsheets/d/1iodCdmuK2GR3jzUwk8tpccY2JHQQA-87DLOtJP-ooyU/edit?usp=sharing"",""นราธิวาส!J149"")+IMPORTRANGE(""https://docs.google.com/spreadsheets/d/1SDNX3JhDdYRuIOsj0Wh2M-Qa_eaXl0NbWmh"&amp;"AOTbfQAs/edit?usp=sharing"",""ปัตตานี!J149"")+IMPORTRANGE(""https://docs.google.com/spreadsheets/d/16JDLGguT8s5DsGCND1KcwHP_AWR_zDMTqLHPLJUKhaU/edit?usp=sharing"",""พังงา!J149"")+IMPORTRANGE(""https://docs.google.com/spreadsheets/d/17ht0gPKzzT3PObBL1XJkeR"&amp;"mntBXI7wGjpLV7QorqlTk/edit?usp=sharing"",""พัทลุง!J149"")+IMPORTRANGE(""https://docs.google.com/spreadsheets/d/1rd4qoM1q_hsgaolqNGfrim9gbsoLxQsda4-vOz5x_BM/edit?usp=sharing"",""ภูเก็ต!J149"")+IMPORTRANGE(""https://docs.google.com/spreadsheets/d/1woKwKjgoL"&amp;"ssDvPcPeVyezB5izizAn4X1JDrys69n6xI/edit?usp=sharing"",""ยะลา!J149"")+IMPORTRANGE(""https://docs.google.com/spreadsheets/d/1qfrKjzMhm2HJfxQ-qVlJlJQ25Hne1d0khsySbZyGtPA/edit?usp=sharing"",""ระนอง!J149"")+IMPORTRANGE(""https://docs.google.com/spreadsheets/d/"&amp;"1IbSCnFOKpZsnFogBHJnL_isstZVaOMnFiIN0fGTPZZw/edit?usp=sharing"",""สงขลา!J149"")+IMPORTRANGE(""https://docs.google.com/spreadsheets/d/1q9nWasZJ-K8bFGvbE9n0qSRuKGA4Toe3Y89cKCiVtCU/edit?usp=sharing"",""สตูล!J149"")+IMPORTRANGE(""https://docs.google.com/sprea"&amp;"dsheets/d/18T20gbkS_WBjdscyTOV05cvq_JqvqQ17C81mpxf7Ncs/edit?usp=sharing"",""สุราษฎร์ธานี!J149"")"),0)</f>
        <v>0</v>
      </c>
      <c r="K149" s="58"/>
      <c r="L149" s="58"/>
      <c r="M149" s="58"/>
      <c r="N149" s="58"/>
      <c r="O149" s="58"/>
      <c r="P149" s="58"/>
    </row>
    <row r="150" spans="1:16" ht="19.5" x14ac:dyDescent="0.3">
      <c r="A150" s="226"/>
      <c r="B150" s="63"/>
      <c r="C150" s="63"/>
      <c r="D150" s="227"/>
      <c r="E150" s="228" t="s">
        <v>58</v>
      </c>
      <c r="F150" s="63"/>
      <c r="G150" s="65"/>
      <c r="H150" s="229" t="s">
        <v>33</v>
      </c>
      <c r="I150" s="230">
        <f ca="1">IFERROR(__xludf.DUMMYFUNCTION("IMPORTRANGE(""https://docs.google.com/spreadsheets/d/1kKUcYdkIfrgTSj8iHHHB2MD2FAtwyyocFgqGQn6ADyI/edit?usp=sharing"",""กระบี่!I150"")+IMPORTRANGE(""https://docs.google.com/spreadsheets/d/1GwtLaSlNZkLk7iDqcyZz22giiy40b_usZZBXYciEN1U/edit?usp=sharing"",""ชุ"&amp;"มพร!I150"")+IMPORTRANGE(""https://docs.google.com/spreadsheets/d/16pAz3pOhQEZBhvFNMa5KGgZS6iKWpsKX0pg6tQmwFpo/edit?usp=sharing"",""ตรัง!I150"")+IMPORTRANGE(""https://docs.google.com/spreadsheets/d/1Dj4jcHCTV9JXKCaMoheSXS52JE63kDKyG7bPXnFogHk/edit?usp=shar"&amp;"ing"",""นครศรีธรรมราช!I150"")+IMPORTRANGE(""https://docs.google.com/spreadsheets/d/1iodCdmuK2GR3jzUwk8tpccY2JHQQA-87DLOtJP-ooyU/edit?usp=sharing"",""นราธิวาส!I150"")+IMPORTRANGE(""https://docs.google.com/spreadsheets/d/1SDNX3JhDdYRuIOsj0Wh2M-Qa_eaXl0NbWmh"&amp;"AOTbfQAs/edit?usp=sharing"",""ปัตตานี!I150"")+IMPORTRANGE(""https://docs.google.com/spreadsheets/d/16JDLGguT8s5DsGCND1KcwHP_AWR_zDMTqLHPLJUKhaU/edit?usp=sharing"",""พังงา!I150"")+IMPORTRANGE(""https://docs.google.com/spreadsheets/d/17ht0gPKzzT3PObBL1XJkeR"&amp;"mntBXI7wGjpLV7QorqlTk/edit?usp=sharing"",""พัทลุง!I150"")+IMPORTRANGE(""https://docs.google.com/spreadsheets/d/1rd4qoM1q_hsgaolqNGfrim9gbsoLxQsda4-vOz5x_BM/edit?usp=sharing"",""ภูเก็ต!I150"")+IMPORTRANGE(""https://docs.google.com/spreadsheets/d/1woKwKjgoL"&amp;"ssDvPcPeVyezB5izizAn4X1JDrys69n6xI/edit?usp=sharing"",""ยะลา!I150"")+IMPORTRANGE(""https://docs.google.com/spreadsheets/d/1qfrKjzMhm2HJfxQ-qVlJlJQ25Hne1d0khsySbZyGtPA/edit?usp=sharing"",""ระนอง!I150"")+IMPORTRANGE(""https://docs.google.com/spreadsheets/d/"&amp;"1IbSCnFOKpZsnFogBHJnL_isstZVaOMnFiIN0fGTPZZw/edit?usp=sharing"",""สงขลา!I150"")+IMPORTRANGE(""https://docs.google.com/spreadsheets/d/1q9nWasZJ-K8bFGvbE9n0qSRuKGA4Toe3Y89cKCiVtCU/edit?usp=sharing"",""สตูล!I150"")+IMPORTRANGE(""https://docs.google.com/sprea"&amp;"dsheets/d/18T20gbkS_WBjdscyTOV05cvq_JqvqQ17C81mpxf7Ncs/edit?usp=sharing"",""สุราษฎร์ธานี!I150"")"),50)</f>
        <v>50</v>
      </c>
      <c r="J150" s="230">
        <f ca="1">IFERROR(__xludf.DUMMYFUNCTION("IMPORTRANGE(""https://docs.google.com/spreadsheets/d/1kKUcYdkIfrgTSj8iHHHB2MD2FAtwyyocFgqGQn6ADyI/edit?usp=sharing"",""กระบี่!J150"")+IMPORTRANGE(""https://docs.google.com/spreadsheets/d/1GwtLaSlNZkLk7iDqcyZz22giiy40b_usZZBXYciEN1U/edit?usp=sharing"",""ชุ"&amp;"มพร!J150"")+IMPORTRANGE(""https://docs.google.com/spreadsheets/d/16pAz3pOhQEZBhvFNMa5KGgZS6iKWpsKX0pg6tQmwFpo/edit?usp=sharing"",""ตรัง!J150"")+IMPORTRANGE(""https://docs.google.com/spreadsheets/d/1Dj4jcHCTV9JXKCaMoheSXS52JE63kDKyG7bPXnFogHk/edit?usp=shar"&amp;"ing"",""นครศรีธรรมราช!J150"")+IMPORTRANGE(""https://docs.google.com/spreadsheets/d/1iodCdmuK2GR3jzUwk8tpccY2JHQQA-87DLOtJP-ooyU/edit?usp=sharing"",""นราธิวาส!J150"")+IMPORTRANGE(""https://docs.google.com/spreadsheets/d/1SDNX3JhDdYRuIOsj0Wh2M-Qa_eaXl0NbWmh"&amp;"AOTbfQAs/edit?usp=sharing"",""ปัตตานี!J150"")+IMPORTRANGE(""https://docs.google.com/spreadsheets/d/16JDLGguT8s5DsGCND1KcwHP_AWR_zDMTqLHPLJUKhaU/edit?usp=sharing"",""พังงา!J150"")+IMPORTRANGE(""https://docs.google.com/spreadsheets/d/17ht0gPKzzT3PObBL1XJkeR"&amp;"mntBXI7wGjpLV7QorqlTk/edit?usp=sharing"",""พัทลุง!J150"")+IMPORTRANGE(""https://docs.google.com/spreadsheets/d/1rd4qoM1q_hsgaolqNGfrim9gbsoLxQsda4-vOz5x_BM/edit?usp=sharing"",""ภูเก็ต!J150"")+IMPORTRANGE(""https://docs.google.com/spreadsheets/d/1woKwKjgoL"&amp;"ssDvPcPeVyezB5izizAn4X1JDrys69n6xI/edit?usp=sharing"",""ยะลา!J150"")+IMPORTRANGE(""https://docs.google.com/spreadsheets/d/1qfrKjzMhm2HJfxQ-qVlJlJQ25Hne1d0khsySbZyGtPA/edit?usp=sharing"",""ระนอง!J150"")+IMPORTRANGE(""https://docs.google.com/spreadsheets/d/"&amp;"1IbSCnFOKpZsnFogBHJnL_isstZVaOMnFiIN0fGTPZZw/edit?usp=sharing"",""สงขลา!J150"")+IMPORTRANGE(""https://docs.google.com/spreadsheets/d/1q9nWasZJ-K8bFGvbE9n0qSRuKGA4Toe3Y89cKCiVtCU/edit?usp=sharing"",""สตูล!J150"")+IMPORTRANGE(""https://docs.google.com/sprea"&amp;"dsheets/d/18T20gbkS_WBjdscyTOV05cvq_JqvqQ17C81mpxf7Ncs/edit?usp=sharing"",""สุราษฎร์ธานี!J150"")"),0)</f>
        <v>0</v>
      </c>
      <c r="K150" s="69">
        <f t="shared" ref="K150:K154" ca="1" si="72">IF(I150&gt;0,J150*100/I150,0)</f>
        <v>0</v>
      </c>
      <c r="L150" s="68"/>
      <c r="M150" s="68"/>
      <c r="N150" s="68"/>
      <c r="O150" s="68"/>
      <c r="P150" s="68"/>
    </row>
    <row r="151" spans="1:16" ht="18.75" x14ac:dyDescent="0.25">
      <c r="A151" s="226"/>
      <c r="B151" s="63"/>
      <c r="C151" s="63"/>
      <c r="D151" s="227"/>
      <c r="E151" s="231"/>
      <c r="F151" s="63"/>
      <c r="G151" s="65"/>
      <c r="H151" s="232" t="s">
        <v>56</v>
      </c>
      <c r="I151" s="233">
        <f ca="1">IFERROR(__xludf.DUMMYFUNCTION("IMPORTRANGE(""https://docs.google.com/spreadsheets/d/1kKUcYdkIfrgTSj8iHHHB2MD2FAtwyyocFgqGQn6ADyI/edit?usp=sharing"",""กระบี่!I151"")+IMPORTRANGE(""https://docs.google.com/spreadsheets/d/1GwtLaSlNZkLk7iDqcyZz22giiy40b_usZZBXYciEN1U/edit?usp=sharing"",""ชุ"&amp;"มพร!I151"")+IMPORTRANGE(""https://docs.google.com/spreadsheets/d/16pAz3pOhQEZBhvFNMa5KGgZS6iKWpsKX0pg6tQmwFpo/edit?usp=sharing"",""ตรัง!I151"")+IMPORTRANGE(""https://docs.google.com/spreadsheets/d/1Dj4jcHCTV9JXKCaMoheSXS52JE63kDKyG7bPXnFogHk/edit?usp=shar"&amp;"ing"",""นครศรีธรรมราช!I151"")+IMPORTRANGE(""https://docs.google.com/spreadsheets/d/1iodCdmuK2GR3jzUwk8tpccY2JHQQA-87DLOtJP-ooyU/edit?usp=sharing"",""นราธิวาส!I151"")+IMPORTRANGE(""https://docs.google.com/spreadsheets/d/1SDNX3JhDdYRuIOsj0Wh2M-Qa_eaXl0NbWmh"&amp;"AOTbfQAs/edit?usp=sharing"",""ปัตตานี!I151"")+IMPORTRANGE(""https://docs.google.com/spreadsheets/d/16JDLGguT8s5DsGCND1KcwHP_AWR_zDMTqLHPLJUKhaU/edit?usp=sharing"",""พังงา!I151"")+IMPORTRANGE(""https://docs.google.com/spreadsheets/d/17ht0gPKzzT3PObBL1XJkeR"&amp;"mntBXI7wGjpLV7QorqlTk/edit?usp=sharing"",""พัทลุง!I151"")+IMPORTRANGE(""https://docs.google.com/spreadsheets/d/1rd4qoM1q_hsgaolqNGfrim9gbsoLxQsda4-vOz5x_BM/edit?usp=sharing"",""ภูเก็ต!I151"")+IMPORTRANGE(""https://docs.google.com/spreadsheets/d/1woKwKjgoL"&amp;"ssDvPcPeVyezB5izizAn4X1JDrys69n6xI/edit?usp=sharing"",""ยะลา!I151"")+IMPORTRANGE(""https://docs.google.com/spreadsheets/d/1qfrKjzMhm2HJfxQ-qVlJlJQ25Hne1d0khsySbZyGtPA/edit?usp=sharing"",""ระนอง!I151"")+IMPORTRANGE(""https://docs.google.com/spreadsheets/d/"&amp;"1IbSCnFOKpZsnFogBHJnL_isstZVaOMnFiIN0fGTPZZw/edit?usp=sharing"",""สงขลา!I151"")+IMPORTRANGE(""https://docs.google.com/spreadsheets/d/1q9nWasZJ-K8bFGvbE9n0qSRuKGA4Toe3Y89cKCiVtCU/edit?usp=sharing"",""สตูล!I151"")+IMPORTRANGE(""https://docs.google.com/sprea"&amp;"dsheets/d/18T20gbkS_WBjdscyTOV05cvq_JqvqQ17C81mpxf7Ncs/edit?usp=sharing"",""สุราษฎร์ธานี!I151"")"),5)</f>
        <v>5</v>
      </c>
      <c r="J151" s="233">
        <f ca="1">IFERROR(__xludf.DUMMYFUNCTION("IMPORTRANGE(""https://docs.google.com/spreadsheets/d/1kKUcYdkIfrgTSj8iHHHB2MD2FAtwyyocFgqGQn6ADyI/edit?usp=sharing"",""กระบี่!J151"")+IMPORTRANGE(""https://docs.google.com/spreadsheets/d/1GwtLaSlNZkLk7iDqcyZz22giiy40b_usZZBXYciEN1U/edit?usp=sharing"",""ชุ"&amp;"มพร!J151"")+IMPORTRANGE(""https://docs.google.com/spreadsheets/d/16pAz3pOhQEZBhvFNMa5KGgZS6iKWpsKX0pg6tQmwFpo/edit?usp=sharing"",""ตรัง!J151"")+IMPORTRANGE(""https://docs.google.com/spreadsheets/d/1Dj4jcHCTV9JXKCaMoheSXS52JE63kDKyG7bPXnFogHk/edit?usp=shar"&amp;"ing"",""นครศรีธรรมราช!J151"")+IMPORTRANGE(""https://docs.google.com/spreadsheets/d/1iodCdmuK2GR3jzUwk8tpccY2JHQQA-87DLOtJP-ooyU/edit?usp=sharing"",""นราธิวาส!J151"")+IMPORTRANGE(""https://docs.google.com/spreadsheets/d/1SDNX3JhDdYRuIOsj0Wh2M-Qa_eaXl0NbWmh"&amp;"AOTbfQAs/edit?usp=sharing"",""ปัตตานี!J151"")+IMPORTRANGE(""https://docs.google.com/spreadsheets/d/16JDLGguT8s5DsGCND1KcwHP_AWR_zDMTqLHPLJUKhaU/edit?usp=sharing"",""พังงา!J151"")+IMPORTRANGE(""https://docs.google.com/spreadsheets/d/17ht0gPKzzT3PObBL1XJkeR"&amp;"mntBXI7wGjpLV7QorqlTk/edit?usp=sharing"",""พัทลุง!J151"")+IMPORTRANGE(""https://docs.google.com/spreadsheets/d/1rd4qoM1q_hsgaolqNGfrim9gbsoLxQsda4-vOz5x_BM/edit?usp=sharing"",""ภูเก็ต!J151"")+IMPORTRANGE(""https://docs.google.com/spreadsheets/d/1woKwKjgoL"&amp;"ssDvPcPeVyezB5izizAn4X1JDrys69n6xI/edit?usp=sharing"",""ยะลา!J151"")+IMPORTRANGE(""https://docs.google.com/spreadsheets/d/1qfrKjzMhm2HJfxQ-qVlJlJQ25Hne1d0khsySbZyGtPA/edit?usp=sharing"",""ระนอง!J151"")+IMPORTRANGE(""https://docs.google.com/spreadsheets/d/"&amp;"1IbSCnFOKpZsnFogBHJnL_isstZVaOMnFiIN0fGTPZZw/edit?usp=sharing"",""สงขลา!J151"")+IMPORTRANGE(""https://docs.google.com/spreadsheets/d/1q9nWasZJ-K8bFGvbE9n0qSRuKGA4Toe3Y89cKCiVtCU/edit?usp=sharing"",""สตูล!J151"")+IMPORTRANGE(""https://docs.google.com/sprea"&amp;"dsheets/d/18T20gbkS_WBjdscyTOV05cvq_JqvqQ17C81mpxf7Ncs/edit?usp=sharing"",""สุราษฎร์ธานี!J151"")"),0)</f>
        <v>0</v>
      </c>
      <c r="K151" s="69">
        <f t="shared" ca="1" si="72"/>
        <v>0</v>
      </c>
      <c r="L151" s="68"/>
      <c r="M151" s="68"/>
      <c r="N151" s="68"/>
      <c r="O151" s="68"/>
      <c r="P151" s="68"/>
    </row>
    <row r="152" spans="1:16" ht="19.5" x14ac:dyDescent="0.3">
      <c r="A152" s="226"/>
      <c r="B152" s="63"/>
      <c r="C152" s="63"/>
      <c r="D152" s="227"/>
      <c r="E152" s="228" t="s">
        <v>59</v>
      </c>
      <c r="F152" s="63"/>
      <c r="G152" s="65"/>
      <c r="H152" s="229" t="s">
        <v>33</v>
      </c>
      <c r="I152" s="230">
        <f ca="1">IFERROR(__xludf.DUMMYFUNCTION("IMPORTRANGE(""https://docs.google.com/spreadsheets/d/1kKUcYdkIfrgTSj8iHHHB2MD2FAtwyyocFgqGQn6ADyI/edit?usp=sharing"",""กระบี่!I152"")+IMPORTRANGE(""https://docs.google.com/spreadsheets/d/1GwtLaSlNZkLk7iDqcyZz22giiy40b_usZZBXYciEN1U/edit?usp=sharing"",""ชุ"&amp;"มพร!I152"")+IMPORTRANGE(""https://docs.google.com/spreadsheets/d/16pAz3pOhQEZBhvFNMa5KGgZS6iKWpsKX0pg6tQmwFpo/edit?usp=sharing"",""ตรัง!I152"")+IMPORTRANGE(""https://docs.google.com/spreadsheets/d/1Dj4jcHCTV9JXKCaMoheSXS52JE63kDKyG7bPXnFogHk/edit?usp=shar"&amp;"ing"",""นครศรีธรรมราช!I152"")+IMPORTRANGE(""https://docs.google.com/spreadsheets/d/1iodCdmuK2GR3jzUwk8tpccY2JHQQA-87DLOtJP-ooyU/edit?usp=sharing"",""นราธิวาส!I152"")+IMPORTRANGE(""https://docs.google.com/spreadsheets/d/1SDNX3JhDdYRuIOsj0Wh2M-Qa_eaXl0NbWmh"&amp;"AOTbfQAs/edit?usp=sharing"",""ปัตตานี!I152"")+IMPORTRANGE(""https://docs.google.com/spreadsheets/d/16JDLGguT8s5DsGCND1KcwHP_AWR_zDMTqLHPLJUKhaU/edit?usp=sharing"",""พังงา!I152"")+IMPORTRANGE(""https://docs.google.com/spreadsheets/d/17ht0gPKzzT3PObBL1XJkeR"&amp;"mntBXI7wGjpLV7QorqlTk/edit?usp=sharing"",""พัทลุง!I152"")+IMPORTRANGE(""https://docs.google.com/spreadsheets/d/1rd4qoM1q_hsgaolqNGfrim9gbsoLxQsda4-vOz5x_BM/edit?usp=sharing"",""ภูเก็ต!I152"")+IMPORTRANGE(""https://docs.google.com/spreadsheets/d/1woKwKjgoL"&amp;"ssDvPcPeVyezB5izizAn4X1JDrys69n6xI/edit?usp=sharing"",""ยะลา!I152"")+IMPORTRANGE(""https://docs.google.com/spreadsheets/d/1qfrKjzMhm2HJfxQ-qVlJlJQ25Hne1d0khsySbZyGtPA/edit?usp=sharing"",""ระนอง!I152"")+IMPORTRANGE(""https://docs.google.com/spreadsheets/d/"&amp;"1IbSCnFOKpZsnFogBHJnL_isstZVaOMnFiIN0fGTPZZw/edit?usp=sharing"",""สงขลา!I152"")+IMPORTRANGE(""https://docs.google.com/spreadsheets/d/1q9nWasZJ-K8bFGvbE9n0qSRuKGA4Toe3Y89cKCiVtCU/edit?usp=sharing"",""สตูล!I152"")+IMPORTRANGE(""https://docs.google.com/sprea"&amp;"dsheets/d/18T20gbkS_WBjdscyTOV05cvq_JqvqQ17C81mpxf7Ncs/edit?usp=sharing"",""สุราษฎร์ธานี!I152"")"),200)</f>
        <v>200</v>
      </c>
      <c r="J152" s="233">
        <f ca="1">IFERROR(__xludf.DUMMYFUNCTION("IMPORTRANGE(""https://docs.google.com/spreadsheets/d/1kKUcYdkIfrgTSj8iHHHB2MD2FAtwyyocFgqGQn6ADyI/edit?usp=sharing"",""กระบี่!J152"")+IMPORTRANGE(""https://docs.google.com/spreadsheets/d/1GwtLaSlNZkLk7iDqcyZz22giiy40b_usZZBXYciEN1U/edit?usp=sharing"",""ชุ"&amp;"มพร!J152"")+IMPORTRANGE(""https://docs.google.com/spreadsheets/d/16pAz3pOhQEZBhvFNMa5KGgZS6iKWpsKX0pg6tQmwFpo/edit?usp=sharing"",""ตรัง!J152"")+IMPORTRANGE(""https://docs.google.com/spreadsheets/d/1Dj4jcHCTV9JXKCaMoheSXS52JE63kDKyG7bPXnFogHk/edit?usp=shar"&amp;"ing"",""นครศรีธรรมราช!J152"")+IMPORTRANGE(""https://docs.google.com/spreadsheets/d/1iodCdmuK2GR3jzUwk8tpccY2JHQQA-87DLOtJP-ooyU/edit?usp=sharing"",""นราธิวาส!J152"")+IMPORTRANGE(""https://docs.google.com/spreadsheets/d/1SDNX3JhDdYRuIOsj0Wh2M-Qa_eaXl0NbWmh"&amp;"AOTbfQAs/edit?usp=sharing"",""ปัตตานี!J152"")+IMPORTRANGE(""https://docs.google.com/spreadsheets/d/16JDLGguT8s5DsGCND1KcwHP_AWR_zDMTqLHPLJUKhaU/edit?usp=sharing"",""พังงา!J152"")+IMPORTRANGE(""https://docs.google.com/spreadsheets/d/17ht0gPKzzT3PObBL1XJkeR"&amp;"mntBXI7wGjpLV7QorqlTk/edit?usp=sharing"",""พัทลุง!J152"")+IMPORTRANGE(""https://docs.google.com/spreadsheets/d/1rd4qoM1q_hsgaolqNGfrim9gbsoLxQsda4-vOz5x_BM/edit?usp=sharing"",""ภูเก็ต!J152"")+IMPORTRANGE(""https://docs.google.com/spreadsheets/d/1woKwKjgoL"&amp;"ssDvPcPeVyezB5izizAn4X1JDrys69n6xI/edit?usp=sharing"",""ยะลา!J152"")+IMPORTRANGE(""https://docs.google.com/spreadsheets/d/1qfrKjzMhm2HJfxQ-qVlJlJQ25Hne1d0khsySbZyGtPA/edit?usp=sharing"",""ระนอง!J152"")+IMPORTRANGE(""https://docs.google.com/spreadsheets/d/"&amp;"1IbSCnFOKpZsnFogBHJnL_isstZVaOMnFiIN0fGTPZZw/edit?usp=sharing"",""สงขลา!J152"")+IMPORTRANGE(""https://docs.google.com/spreadsheets/d/1q9nWasZJ-K8bFGvbE9n0qSRuKGA4Toe3Y89cKCiVtCU/edit?usp=sharing"",""สตูล!J152"")+IMPORTRANGE(""https://docs.google.com/sprea"&amp;"dsheets/d/18T20gbkS_WBjdscyTOV05cvq_JqvqQ17C81mpxf7Ncs/edit?usp=sharing"",""สุราษฎร์ธานี!J152"")"),0)</f>
        <v>0</v>
      </c>
      <c r="K152" s="69">
        <f t="shared" ca="1" si="72"/>
        <v>0</v>
      </c>
      <c r="L152" s="68"/>
      <c r="M152" s="68"/>
      <c r="N152" s="68"/>
      <c r="O152" s="68"/>
      <c r="P152" s="68"/>
    </row>
    <row r="153" spans="1:16" ht="19.5" x14ac:dyDescent="0.3">
      <c r="A153" s="226"/>
      <c r="B153" s="63"/>
      <c r="C153" s="63"/>
      <c r="D153" s="231"/>
      <c r="E153" s="234"/>
      <c r="F153" s="63"/>
      <c r="G153" s="65"/>
      <c r="H153" s="232" t="s">
        <v>56</v>
      </c>
      <c r="I153" s="233">
        <f ca="1">IFERROR(__xludf.DUMMYFUNCTION("IMPORTRANGE(""https://docs.google.com/spreadsheets/d/1kKUcYdkIfrgTSj8iHHHB2MD2FAtwyyocFgqGQn6ADyI/edit?usp=sharing"",""กระบี่!I153"")+IMPORTRANGE(""https://docs.google.com/spreadsheets/d/1GwtLaSlNZkLk7iDqcyZz22giiy40b_usZZBXYciEN1U/edit?usp=sharing"",""ชุ"&amp;"มพร!I153"")+IMPORTRANGE(""https://docs.google.com/spreadsheets/d/16pAz3pOhQEZBhvFNMa5KGgZS6iKWpsKX0pg6tQmwFpo/edit?usp=sharing"",""ตรัง!I153"")+IMPORTRANGE(""https://docs.google.com/spreadsheets/d/1Dj4jcHCTV9JXKCaMoheSXS52JE63kDKyG7bPXnFogHk/edit?usp=shar"&amp;"ing"",""นครศรีธรรมราช!I153"")+IMPORTRANGE(""https://docs.google.com/spreadsheets/d/1iodCdmuK2GR3jzUwk8tpccY2JHQQA-87DLOtJP-ooyU/edit?usp=sharing"",""นราธิวาส!I153"")+IMPORTRANGE(""https://docs.google.com/spreadsheets/d/1SDNX3JhDdYRuIOsj0Wh2M-Qa_eaXl0NbWmh"&amp;"AOTbfQAs/edit?usp=sharing"",""ปัตตานี!I153"")+IMPORTRANGE(""https://docs.google.com/spreadsheets/d/16JDLGguT8s5DsGCND1KcwHP_AWR_zDMTqLHPLJUKhaU/edit?usp=sharing"",""พังงา!I153"")+IMPORTRANGE(""https://docs.google.com/spreadsheets/d/17ht0gPKzzT3PObBL1XJkeR"&amp;"mntBXI7wGjpLV7QorqlTk/edit?usp=sharing"",""พัทลุง!I153"")+IMPORTRANGE(""https://docs.google.com/spreadsheets/d/1rd4qoM1q_hsgaolqNGfrim9gbsoLxQsda4-vOz5x_BM/edit?usp=sharing"",""ภูเก็ต!I153"")+IMPORTRANGE(""https://docs.google.com/spreadsheets/d/1woKwKjgoL"&amp;"ssDvPcPeVyezB5izizAn4X1JDrys69n6xI/edit?usp=sharing"",""ยะลา!I153"")+IMPORTRANGE(""https://docs.google.com/spreadsheets/d/1qfrKjzMhm2HJfxQ-qVlJlJQ25Hne1d0khsySbZyGtPA/edit?usp=sharing"",""ระนอง!I153"")+IMPORTRANGE(""https://docs.google.com/spreadsheets/d/"&amp;"1IbSCnFOKpZsnFogBHJnL_isstZVaOMnFiIN0fGTPZZw/edit?usp=sharing"",""สงขลา!I153"")+IMPORTRANGE(""https://docs.google.com/spreadsheets/d/1q9nWasZJ-K8bFGvbE9n0qSRuKGA4Toe3Y89cKCiVtCU/edit?usp=sharing"",""สตูล!I153"")+IMPORTRANGE(""https://docs.google.com/sprea"&amp;"dsheets/d/18T20gbkS_WBjdscyTOV05cvq_JqvqQ17C81mpxf7Ncs/edit?usp=sharing"",""สุราษฎร์ธานี!I153"")"),20)</f>
        <v>20</v>
      </c>
      <c r="J153" s="233">
        <f ca="1">IFERROR(__xludf.DUMMYFUNCTION("IMPORTRANGE(""https://docs.google.com/spreadsheets/d/1kKUcYdkIfrgTSj8iHHHB2MD2FAtwyyocFgqGQn6ADyI/edit?usp=sharing"",""กระบี่!J153"")+IMPORTRANGE(""https://docs.google.com/spreadsheets/d/1GwtLaSlNZkLk7iDqcyZz22giiy40b_usZZBXYciEN1U/edit?usp=sharing"",""ชุ"&amp;"มพร!J153"")+IMPORTRANGE(""https://docs.google.com/spreadsheets/d/16pAz3pOhQEZBhvFNMa5KGgZS6iKWpsKX0pg6tQmwFpo/edit?usp=sharing"",""ตรัง!J153"")+IMPORTRANGE(""https://docs.google.com/spreadsheets/d/1Dj4jcHCTV9JXKCaMoheSXS52JE63kDKyG7bPXnFogHk/edit?usp=shar"&amp;"ing"",""นครศรีธรรมราช!J153"")+IMPORTRANGE(""https://docs.google.com/spreadsheets/d/1iodCdmuK2GR3jzUwk8tpccY2JHQQA-87DLOtJP-ooyU/edit?usp=sharing"",""นราธิวาส!J153"")+IMPORTRANGE(""https://docs.google.com/spreadsheets/d/1SDNX3JhDdYRuIOsj0Wh2M-Qa_eaXl0NbWmh"&amp;"AOTbfQAs/edit?usp=sharing"",""ปัตตานี!J153"")+IMPORTRANGE(""https://docs.google.com/spreadsheets/d/16JDLGguT8s5DsGCND1KcwHP_AWR_zDMTqLHPLJUKhaU/edit?usp=sharing"",""พังงา!J153"")+IMPORTRANGE(""https://docs.google.com/spreadsheets/d/17ht0gPKzzT3PObBL1XJkeR"&amp;"mntBXI7wGjpLV7QorqlTk/edit?usp=sharing"",""พัทลุง!J153"")+IMPORTRANGE(""https://docs.google.com/spreadsheets/d/1rd4qoM1q_hsgaolqNGfrim9gbsoLxQsda4-vOz5x_BM/edit?usp=sharing"",""ภูเก็ต!J153"")+IMPORTRANGE(""https://docs.google.com/spreadsheets/d/1woKwKjgoL"&amp;"ssDvPcPeVyezB5izizAn4X1JDrys69n6xI/edit?usp=sharing"",""ยะลา!J153"")+IMPORTRANGE(""https://docs.google.com/spreadsheets/d/1qfrKjzMhm2HJfxQ-qVlJlJQ25Hne1d0khsySbZyGtPA/edit?usp=sharing"",""ระนอง!J153"")+IMPORTRANGE(""https://docs.google.com/spreadsheets/d/"&amp;"1IbSCnFOKpZsnFogBHJnL_isstZVaOMnFiIN0fGTPZZw/edit?usp=sharing"",""สงขลา!J153"")+IMPORTRANGE(""https://docs.google.com/spreadsheets/d/1q9nWasZJ-K8bFGvbE9n0qSRuKGA4Toe3Y89cKCiVtCU/edit?usp=sharing"",""สตูล!J153"")+IMPORTRANGE(""https://docs.google.com/sprea"&amp;"dsheets/d/18T20gbkS_WBjdscyTOV05cvq_JqvqQ17C81mpxf7Ncs/edit?usp=sharing"",""สุราษฎร์ธานี!J153"")"),0)</f>
        <v>0</v>
      </c>
      <c r="K153" s="69">
        <f t="shared" ca="1" si="72"/>
        <v>0</v>
      </c>
      <c r="L153" s="68"/>
      <c r="M153" s="68"/>
      <c r="N153" s="68"/>
      <c r="O153" s="68"/>
      <c r="P153" s="68"/>
    </row>
    <row r="154" spans="1:16" ht="18.75" x14ac:dyDescent="0.25">
      <c r="A154" s="235"/>
      <c r="B154" s="236"/>
      <c r="C154" s="236"/>
      <c r="D154" s="237" t="s">
        <v>60</v>
      </c>
      <c r="E154" s="236"/>
      <c r="F154" s="236"/>
      <c r="G154" s="238"/>
      <c r="H154" s="239" t="s">
        <v>54</v>
      </c>
      <c r="I154" s="240">
        <f ca="1">IFERROR(__xludf.DUMMYFUNCTION("IMPORTRANGE(""https://docs.google.com/spreadsheets/d/1kKUcYdkIfrgTSj8iHHHB2MD2FAtwyyocFgqGQn6ADyI/edit?usp=sharing"",""กระบี่!I154"")+IMPORTRANGE(""https://docs.google.com/spreadsheets/d/1GwtLaSlNZkLk7iDqcyZz22giiy40b_usZZBXYciEN1U/edit?usp=sharing"",""ชุ"&amp;"มพร!I154"")+IMPORTRANGE(""https://docs.google.com/spreadsheets/d/16pAz3pOhQEZBhvFNMa5KGgZS6iKWpsKX0pg6tQmwFpo/edit?usp=sharing"",""ตรัง!I154"")+IMPORTRANGE(""https://docs.google.com/spreadsheets/d/1Dj4jcHCTV9JXKCaMoheSXS52JE63kDKyG7bPXnFogHk/edit?usp=shar"&amp;"ing"",""นครศรีธรรมราช!I154"")+IMPORTRANGE(""https://docs.google.com/spreadsheets/d/1iodCdmuK2GR3jzUwk8tpccY2JHQQA-87DLOtJP-ooyU/edit?usp=sharing"",""นราธิวาส!I154"")+IMPORTRANGE(""https://docs.google.com/spreadsheets/d/1SDNX3JhDdYRuIOsj0Wh2M-Qa_eaXl0NbWmh"&amp;"AOTbfQAs/edit?usp=sharing"",""ปัตตานี!I154"")+IMPORTRANGE(""https://docs.google.com/spreadsheets/d/16JDLGguT8s5DsGCND1KcwHP_AWR_zDMTqLHPLJUKhaU/edit?usp=sharing"",""พังงา!I154"")+IMPORTRANGE(""https://docs.google.com/spreadsheets/d/17ht0gPKzzT3PObBL1XJkeR"&amp;"mntBXI7wGjpLV7QorqlTk/edit?usp=sharing"",""พัทลุง!I154"")+IMPORTRANGE(""https://docs.google.com/spreadsheets/d/1rd4qoM1q_hsgaolqNGfrim9gbsoLxQsda4-vOz5x_BM/edit?usp=sharing"",""ภูเก็ต!I154"")+IMPORTRANGE(""https://docs.google.com/spreadsheets/d/1woKwKjgoL"&amp;"ssDvPcPeVyezB5izizAn4X1JDrys69n6xI/edit?usp=sharing"",""ยะลา!I154"")+IMPORTRANGE(""https://docs.google.com/spreadsheets/d/1qfrKjzMhm2HJfxQ-qVlJlJQ25Hne1d0khsySbZyGtPA/edit?usp=sharing"",""ระนอง!I154"")+IMPORTRANGE(""https://docs.google.com/spreadsheets/d/"&amp;"1IbSCnFOKpZsnFogBHJnL_isstZVaOMnFiIN0fGTPZZw/edit?usp=sharing"",""สงขลา!I154"")+IMPORTRANGE(""https://docs.google.com/spreadsheets/d/1q9nWasZJ-K8bFGvbE9n0qSRuKGA4Toe3Y89cKCiVtCU/edit?usp=sharing"",""สตูล!I154"")+IMPORTRANGE(""https://docs.google.com/sprea"&amp;"dsheets/d/18T20gbkS_WBjdscyTOV05cvq_JqvqQ17C81mpxf7Ncs/edit?usp=sharing"",""สุราษฎร์ธานี!I154"")"),5)</f>
        <v>5</v>
      </c>
      <c r="J154" s="241">
        <f ca="1">IFERROR(__xludf.DUMMYFUNCTION("IMPORTRANGE(""https://docs.google.com/spreadsheets/d/1kKUcYdkIfrgTSj8iHHHB2MD2FAtwyyocFgqGQn6ADyI/edit?usp=sharing"",""กระบี่!J154"")+IMPORTRANGE(""https://docs.google.com/spreadsheets/d/1GwtLaSlNZkLk7iDqcyZz22giiy40b_usZZBXYciEN1U/edit?usp=sharing"",""ชุ"&amp;"มพร!J154"")+IMPORTRANGE(""https://docs.google.com/spreadsheets/d/16pAz3pOhQEZBhvFNMa5KGgZS6iKWpsKX0pg6tQmwFpo/edit?usp=sharing"",""ตรัง!J154"")+IMPORTRANGE(""https://docs.google.com/spreadsheets/d/1Dj4jcHCTV9JXKCaMoheSXS52JE63kDKyG7bPXnFogHk/edit?usp=shar"&amp;"ing"",""นครศรีธรรมราช!J154"")+IMPORTRANGE(""https://docs.google.com/spreadsheets/d/1iodCdmuK2GR3jzUwk8tpccY2JHQQA-87DLOtJP-ooyU/edit?usp=sharing"",""นราธิวาส!J154"")+IMPORTRANGE(""https://docs.google.com/spreadsheets/d/1SDNX3JhDdYRuIOsj0Wh2M-Qa_eaXl0NbWmh"&amp;"AOTbfQAs/edit?usp=sharing"",""ปัตตานี!J154"")+IMPORTRANGE(""https://docs.google.com/spreadsheets/d/16JDLGguT8s5DsGCND1KcwHP_AWR_zDMTqLHPLJUKhaU/edit?usp=sharing"",""พังงา!J154"")+IMPORTRANGE(""https://docs.google.com/spreadsheets/d/17ht0gPKzzT3PObBL1XJkeR"&amp;"mntBXI7wGjpLV7QorqlTk/edit?usp=sharing"",""พัทลุง!J154"")+IMPORTRANGE(""https://docs.google.com/spreadsheets/d/1rd4qoM1q_hsgaolqNGfrim9gbsoLxQsda4-vOz5x_BM/edit?usp=sharing"",""ภูเก็ต!J154"")+IMPORTRANGE(""https://docs.google.com/spreadsheets/d/1woKwKjgoL"&amp;"ssDvPcPeVyezB5izizAn4X1JDrys69n6xI/edit?usp=sharing"",""ยะลา!J154"")+IMPORTRANGE(""https://docs.google.com/spreadsheets/d/1qfrKjzMhm2HJfxQ-qVlJlJQ25Hne1d0khsySbZyGtPA/edit?usp=sharing"",""ระนอง!J154"")+IMPORTRANGE(""https://docs.google.com/spreadsheets/d/"&amp;"1IbSCnFOKpZsnFogBHJnL_isstZVaOMnFiIN0fGTPZZw/edit?usp=sharing"",""สงขลา!J154"")+IMPORTRANGE(""https://docs.google.com/spreadsheets/d/1q9nWasZJ-K8bFGvbE9n0qSRuKGA4Toe3Y89cKCiVtCU/edit?usp=sharing"",""สตูล!J154"")+IMPORTRANGE(""https://docs.google.com/sprea"&amp;"dsheets/d/18T20gbkS_WBjdscyTOV05cvq_JqvqQ17C81mpxf7Ncs/edit?usp=sharing"",""สุราษฎร์ธานี!J154"")"),0)</f>
        <v>0</v>
      </c>
      <c r="K154" s="69">
        <f t="shared" ca="1" si="72"/>
        <v>0</v>
      </c>
      <c r="L154" s="242"/>
      <c r="M154" s="242"/>
      <c r="N154" s="242"/>
      <c r="O154" s="242"/>
      <c r="P154" s="242"/>
    </row>
    <row r="155" spans="1:16" ht="19.5" x14ac:dyDescent="0.3">
      <c r="A155" s="243" t="s">
        <v>61</v>
      </c>
      <c r="B155" s="244"/>
      <c r="C155" s="245"/>
      <c r="D155" s="244"/>
      <c r="E155" s="244"/>
      <c r="F155" s="244"/>
      <c r="G155" s="244"/>
      <c r="H155" s="244"/>
      <c r="I155" s="246"/>
      <c r="J155" s="246"/>
      <c r="K155" s="247"/>
      <c r="L155" s="248"/>
      <c r="M155" s="248"/>
      <c r="N155" s="248"/>
      <c r="O155" s="248"/>
      <c r="P155" s="248"/>
    </row>
    <row r="156" spans="1:16" ht="19.5" x14ac:dyDescent="0.3">
      <c r="A156" s="152"/>
      <c r="B156" s="153" t="s">
        <v>62</v>
      </c>
      <c r="C156" s="41"/>
      <c r="D156" s="41"/>
      <c r="E156" s="41"/>
      <c r="F156" s="41"/>
      <c r="G156" s="44"/>
      <c r="H156" s="249" t="s">
        <v>33</v>
      </c>
      <c r="I156" s="156">
        <f ca="1">I167</f>
        <v>20</v>
      </c>
      <c r="J156" s="156">
        <f>J168</f>
        <v>0</v>
      </c>
      <c r="K156" s="48">
        <f ca="1">IF(I156&gt;0,J156*100/I156,0)</f>
        <v>0</v>
      </c>
      <c r="L156" s="47"/>
      <c r="M156" s="47"/>
      <c r="N156" s="47"/>
      <c r="O156" s="47"/>
      <c r="P156" s="47"/>
    </row>
    <row r="157" spans="1:16" ht="19.5" x14ac:dyDescent="0.3">
      <c r="A157" s="157"/>
      <c r="B157" s="53"/>
      <c r="C157" s="158" t="s">
        <v>16</v>
      </c>
      <c r="D157" s="159" t="s">
        <v>17</v>
      </c>
      <c r="E157" s="53"/>
      <c r="F157" s="53"/>
      <c r="G157" s="55"/>
      <c r="H157" s="160" t="s">
        <v>12</v>
      </c>
      <c r="I157" s="57"/>
      <c r="J157" s="57"/>
      <c r="K157" s="58"/>
      <c r="L157" s="161">
        <f t="shared" ref="L157:N157" ca="1" si="73">L158+L159</f>
        <v>6000</v>
      </c>
      <c r="M157" s="161">
        <f t="shared" ca="1" si="73"/>
        <v>0</v>
      </c>
      <c r="N157" s="161">
        <f t="shared" ca="1" si="73"/>
        <v>0</v>
      </c>
      <c r="O157" s="161">
        <f t="shared" ref="O157:O165" ca="1" si="74">IF(L157&gt;0,N157*100/L157,0)</f>
        <v>0</v>
      </c>
      <c r="P157" s="161">
        <f t="shared" ref="P157:P165" ca="1" si="75">IF(M157&gt;0,N157*100/M157,0)</f>
        <v>0</v>
      </c>
    </row>
    <row r="158" spans="1:16" ht="18.75" x14ac:dyDescent="0.25">
      <c r="A158" s="157"/>
      <c r="B158" s="53"/>
      <c r="C158" s="53"/>
      <c r="D158" s="53"/>
      <c r="E158" s="60" t="s">
        <v>18</v>
      </c>
      <c r="F158" s="53"/>
      <c r="G158" s="55"/>
      <c r="H158" s="162" t="s">
        <v>12</v>
      </c>
      <c r="I158" s="57"/>
      <c r="J158" s="57"/>
      <c r="K158" s="58"/>
      <c r="L158" s="59">
        <f t="shared" ref="L158:N158" ca="1" si="76">L161+L164</f>
        <v>0</v>
      </c>
      <c r="M158" s="59">
        <f t="shared" ca="1" si="76"/>
        <v>0</v>
      </c>
      <c r="N158" s="59">
        <f t="shared" ca="1" si="76"/>
        <v>0</v>
      </c>
      <c r="O158" s="59">
        <f t="shared" ca="1" si="74"/>
        <v>0</v>
      </c>
      <c r="P158" s="59">
        <f t="shared" ca="1" si="75"/>
        <v>0</v>
      </c>
    </row>
    <row r="159" spans="1:16" ht="18.75" x14ac:dyDescent="0.25">
      <c r="A159" s="157"/>
      <c r="B159" s="53"/>
      <c r="C159" s="53"/>
      <c r="D159" s="53"/>
      <c r="E159" s="60" t="s">
        <v>19</v>
      </c>
      <c r="F159" s="53"/>
      <c r="G159" s="55"/>
      <c r="H159" s="162" t="s">
        <v>12</v>
      </c>
      <c r="I159" s="57"/>
      <c r="J159" s="57"/>
      <c r="K159" s="58"/>
      <c r="L159" s="59">
        <f t="shared" ref="L159:N159" ca="1" si="77">L162+L165</f>
        <v>6000</v>
      </c>
      <c r="M159" s="59">
        <f t="shared" ca="1" si="77"/>
        <v>0</v>
      </c>
      <c r="N159" s="59">
        <f t="shared" ca="1" si="77"/>
        <v>0</v>
      </c>
      <c r="O159" s="59">
        <f t="shared" ca="1" si="74"/>
        <v>0</v>
      </c>
      <c r="P159" s="59">
        <f t="shared" ca="1" si="75"/>
        <v>0</v>
      </c>
    </row>
    <row r="160" spans="1:16" ht="18.75" x14ac:dyDescent="0.25">
      <c r="A160" s="157"/>
      <c r="B160" s="53"/>
      <c r="C160" s="53"/>
      <c r="D160" s="54" t="s">
        <v>20</v>
      </c>
      <c r="E160" s="53"/>
      <c r="F160" s="53"/>
      <c r="G160" s="55"/>
      <c r="H160" s="163" t="s">
        <v>12</v>
      </c>
      <c r="I160" s="164"/>
      <c r="J160" s="164"/>
      <c r="K160" s="165"/>
      <c r="L160" s="59">
        <f t="shared" ref="L160:N160" ca="1" si="78">L161+L162</f>
        <v>6000</v>
      </c>
      <c r="M160" s="59">
        <f t="shared" ca="1" si="78"/>
        <v>0</v>
      </c>
      <c r="N160" s="59">
        <f t="shared" ca="1" si="78"/>
        <v>0</v>
      </c>
      <c r="O160" s="59">
        <f t="shared" ca="1" si="74"/>
        <v>0</v>
      </c>
      <c r="P160" s="59">
        <f t="shared" ca="1" si="75"/>
        <v>0</v>
      </c>
    </row>
    <row r="161" spans="1:16" ht="18.75" x14ac:dyDescent="0.25">
      <c r="A161" s="157"/>
      <c r="B161" s="53"/>
      <c r="C161" s="53"/>
      <c r="D161" s="53"/>
      <c r="E161" s="60" t="s">
        <v>34</v>
      </c>
      <c r="F161" s="53"/>
      <c r="G161" s="55"/>
      <c r="H161" s="163" t="s">
        <v>12</v>
      </c>
      <c r="I161" s="164"/>
      <c r="J161" s="164"/>
      <c r="K161" s="165"/>
      <c r="L161" s="59">
        <f ca="1">IFERROR(__xludf.DUMMYFUNCTION("IMPORTRANGE(""https://docs.google.com/spreadsheets/d/1kKUcYdkIfrgTSj8iHHHB2MD2FAtwyyocFgqGQn6ADyI/edit?usp=sharing"",""กระบี่!L161"")+IMPORTRANGE(""https://docs.google.com/spreadsheets/d/1GwtLaSlNZkLk7iDqcyZz22giiy40b_usZZBXYciEN1U/edit?usp=sharing"",""ชุ"&amp;"มพร!L161"")+IMPORTRANGE(""https://docs.google.com/spreadsheets/d/16pAz3pOhQEZBhvFNMa5KGgZS6iKWpsKX0pg6tQmwFpo/edit?usp=sharing"",""ตรัง!L161"")+IMPORTRANGE(""https://docs.google.com/spreadsheets/d/1Dj4jcHCTV9JXKCaMoheSXS52JE63kDKyG7bPXnFogHk/edit?usp=shar"&amp;"ing"",""นครศรีธรรมราช!L161"")+IMPORTRANGE(""https://docs.google.com/spreadsheets/d/1iodCdmuK2GR3jzUwk8tpccY2JHQQA-87DLOtJP-ooyU/edit?usp=sharing"",""นราธิวาส!L161"")+IMPORTRANGE(""https://docs.google.com/spreadsheets/d/1SDNX3JhDdYRuIOsj0Wh2M-Qa_eaXl0NbWmh"&amp;"AOTbfQAs/edit?usp=sharing"",""ปัตตานี!L161"")+IMPORTRANGE(""https://docs.google.com/spreadsheets/d/16JDLGguT8s5DsGCND1KcwHP_AWR_zDMTqLHPLJUKhaU/edit?usp=sharing"",""พังงา!L161"")+IMPORTRANGE(""https://docs.google.com/spreadsheets/d/17ht0gPKzzT3PObBL1XJkeR"&amp;"mntBXI7wGjpLV7QorqlTk/edit?usp=sharing"",""พัทลุง!L161"")+IMPORTRANGE(""https://docs.google.com/spreadsheets/d/1rd4qoM1q_hsgaolqNGfrim9gbsoLxQsda4-vOz5x_BM/edit?usp=sharing"",""ภูเก็ต!L161"")+IMPORTRANGE(""https://docs.google.com/spreadsheets/d/1woKwKjgoL"&amp;"ssDvPcPeVyezB5izizAn4X1JDrys69n6xI/edit?usp=sharing"",""ยะลา!L161"")+IMPORTRANGE(""https://docs.google.com/spreadsheets/d/1qfrKjzMhm2HJfxQ-qVlJlJQ25Hne1d0khsySbZyGtPA/edit?usp=sharing"",""ระนอง!L161"")+IMPORTRANGE(""https://docs.google.com/spreadsheets/d/"&amp;"1IbSCnFOKpZsnFogBHJnL_isstZVaOMnFiIN0fGTPZZw/edit?usp=sharing"",""สงขลา!L161"")+IMPORTRANGE(""https://docs.google.com/spreadsheets/d/1q9nWasZJ-K8bFGvbE9n0qSRuKGA4Toe3Y89cKCiVtCU/edit?usp=sharing"",""สตูล!L161"")+IMPORTRANGE(""https://docs.google.com/sprea"&amp;"dsheets/d/18T20gbkS_WBjdscyTOV05cvq_JqvqQ17C81mpxf7Ncs/edit?usp=sharing"",""สุราษฎร์ธานี!L161"")"),0)</f>
        <v>0</v>
      </c>
      <c r="M161" s="59">
        <f ca="1">IFERROR(__xludf.DUMMYFUNCTION("IMPORTRANGE(""https://docs.google.com/spreadsheets/d/1kKUcYdkIfrgTSj8iHHHB2MD2FAtwyyocFgqGQn6ADyI/edit?usp=sharing"",""กระบี่!M161"")+IMPORTRANGE(""https://docs.google.com/spreadsheets/d/1GwtLaSlNZkLk7iDqcyZz22giiy40b_usZZBXYciEN1U/edit?usp=sharing"",""ชุ"&amp;"มพร!M161"")+IMPORTRANGE(""https://docs.google.com/spreadsheets/d/16pAz3pOhQEZBhvFNMa5KGgZS6iKWpsKX0pg6tQmwFpo/edit?usp=sharing"",""ตรัง!M161"")+IMPORTRANGE(""https://docs.google.com/spreadsheets/d/1Dj4jcHCTV9JXKCaMoheSXS52JE63kDKyG7bPXnFogHk/edit?usp=shar"&amp;"ing"",""นครศรีธรรมราช!M161"")+IMPORTRANGE(""https://docs.google.com/spreadsheets/d/1iodCdmuK2GR3jzUwk8tpccY2JHQQA-87DLOtJP-ooyU/edit?usp=sharing"",""นราธิวาส!M161"")+IMPORTRANGE(""https://docs.google.com/spreadsheets/d/1SDNX3JhDdYRuIOsj0Wh2M-Qa_eaXl0NbWmh"&amp;"AOTbfQAs/edit?usp=sharing"",""ปัตตานี!M161"")+IMPORTRANGE(""https://docs.google.com/spreadsheets/d/16JDLGguT8s5DsGCND1KcwHP_AWR_zDMTqLHPLJUKhaU/edit?usp=sharing"",""พังงา!M161"")+IMPORTRANGE(""https://docs.google.com/spreadsheets/d/17ht0gPKzzT3PObBL1XJkeR"&amp;"mntBXI7wGjpLV7QorqlTk/edit?usp=sharing"",""พัทลุง!M161"")+IMPORTRANGE(""https://docs.google.com/spreadsheets/d/1rd4qoM1q_hsgaolqNGfrim9gbsoLxQsda4-vOz5x_BM/edit?usp=sharing"",""ภูเก็ต!M161"")+IMPORTRANGE(""https://docs.google.com/spreadsheets/d/1woKwKjgoL"&amp;"ssDvPcPeVyezB5izizAn4X1JDrys69n6xI/edit?usp=sharing"",""ยะลา!M161"")+IMPORTRANGE(""https://docs.google.com/spreadsheets/d/1qfrKjzMhm2HJfxQ-qVlJlJQ25Hne1d0khsySbZyGtPA/edit?usp=sharing"",""ระนอง!M161"")+IMPORTRANGE(""https://docs.google.com/spreadsheets/d/"&amp;"1IbSCnFOKpZsnFogBHJnL_isstZVaOMnFiIN0fGTPZZw/edit?usp=sharing"",""สงขลา!M161"")+IMPORTRANGE(""https://docs.google.com/spreadsheets/d/1q9nWasZJ-K8bFGvbE9n0qSRuKGA4Toe3Y89cKCiVtCU/edit?usp=sharing"",""สตูล!M161"")+IMPORTRANGE(""https://docs.google.com/sprea"&amp;"dsheets/d/18T20gbkS_WBjdscyTOV05cvq_JqvqQ17C81mpxf7Ncs/edit?usp=sharing"",""สุราษฎร์ธานี!M161"")"),0)</f>
        <v>0</v>
      </c>
      <c r="N161" s="59">
        <f ca="1">IFERROR(__xludf.DUMMYFUNCTION("IMPORTRANGE(""https://docs.google.com/spreadsheets/d/1kKUcYdkIfrgTSj8iHHHB2MD2FAtwyyocFgqGQn6ADyI/edit?usp=sharing"",""กระบี่!N161"")+IMPORTRANGE(""https://docs.google.com/spreadsheets/d/1GwtLaSlNZkLk7iDqcyZz22giiy40b_usZZBXYciEN1U/edit?usp=sharing"",""ชุ"&amp;"มพร!N161"")+IMPORTRANGE(""https://docs.google.com/spreadsheets/d/16pAz3pOhQEZBhvFNMa5KGgZS6iKWpsKX0pg6tQmwFpo/edit?usp=sharing"",""ตรัง!N161"")+IMPORTRANGE(""https://docs.google.com/spreadsheets/d/1Dj4jcHCTV9JXKCaMoheSXS52JE63kDKyG7bPXnFogHk/edit?usp=shar"&amp;"ing"",""นครศรีธรรมราช!N161"")+IMPORTRANGE(""https://docs.google.com/spreadsheets/d/1iodCdmuK2GR3jzUwk8tpccY2JHQQA-87DLOtJP-ooyU/edit?usp=sharing"",""นราธิวาส!N161"")+IMPORTRANGE(""https://docs.google.com/spreadsheets/d/1SDNX3JhDdYRuIOsj0Wh2M-Qa_eaXl0NbWmh"&amp;"AOTbfQAs/edit?usp=sharing"",""ปัตตานี!N161"")+IMPORTRANGE(""https://docs.google.com/spreadsheets/d/16JDLGguT8s5DsGCND1KcwHP_AWR_zDMTqLHPLJUKhaU/edit?usp=sharing"",""พังงา!N161"")+IMPORTRANGE(""https://docs.google.com/spreadsheets/d/17ht0gPKzzT3PObBL1XJkeR"&amp;"mntBXI7wGjpLV7QorqlTk/edit?usp=sharing"",""พัทลุง!N161"")+IMPORTRANGE(""https://docs.google.com/spreadsheets/d/1rd4qoM1q_hsgaolqNGfrim9gbsoLxQsda4-vOz5x_BM/edit?usp=sharing"",""ภูเก็ต!N161"")+IMPORTRANGE(""https://docs.google.com/spreadsheets/d/1woKwKjgoL"&amp;"ssDvPcPeVyezB5izizAn4X1JDrys69n6xI/edit?usp=sharing"",""ยะลา!N161"")+IMPORTRANGE(""https://docs.google.com/spreadsheets/d/1qfrKjzMhm2HJfxQ-qVlJlJQ25Hne1d0khsySbZyGtPA/edit?usp=sharing"",""ระนอง!N161"")+IMPORTRANGE(""https://docs.google.com/spreadsheets/d/"&amp;"1IbSCnFOKpZsnFogBHJnL_isstZVaOMnFiIN0fGTPZZw/edit?usp=sharing"",""สงขลา!N161"")+IMPORTRANGE(""https://docs.google.com/spreadsheets/d/1q9nWasZJ-K8bFGvbE9n0qSRuKGA4Toe3Y89cKCiVtCU/edit?usp=sharing"",""สตูล!N161"")+IMPORTRANGE(""https://docs.google.com/sprea"&amp;"dsheets/d/18T20gbkS_WBjdscyTOV05cvq_JqvqQ17C81mpxf7Ncs/edit?usp=sharing"",""สุราษฎร์ธานี!N161"")"),0)</f>
        <v>0</v>
      </c>
      <c r="O161" s="59">
        <f t="shared" ca="1" si="74"/>
        <v>0</v>
      </c>
      <c r="P161" s="59">
        <f t="shared" ca="1" si="75"/>
        <v>0</v>
      </c>
    </row>
    <row r="162" spans="1:16" ht="18.75" x14ac:dyDescent="0.25">
      <c r="A162" s="157"/>
      <c r="B162" s="53"/>
      <c r="C162" s="53"/>
      <c r="D162" s="53"/>
      <c r="E162" s="60" t="s">
        <v>35</v>
      </c>
      <c r="F162" s="53"/>
      <c r="G162" s="55"/>
      <c r="H162" s="163" t="s">
        <v>12</v>
      </c>
      <c r="I162" s="164"/>
      <c r="J162" s="164"/>
      <c r="K162" s="165"/>
      <c r="L162" s="59">
        <f ca="1">IFERROR(__xludf.DUMMYFUNCTION("IMPORTRANGE(""https://docs.google.com/spreadsheets/d/1kKUcYdkIfrgTSj8iHHHB2MD2FAtwyyocFgqGQn6ADyI/edit?usp=sharing"",""กระบี่!L162"")+IMPORTRANGE(""https://docs.google.com/spreadsheets/d/1GwtLaSlNZkLk7iDqcyZz22giiy40b_usZZBXYciEN1U/edit?usp=sharing"",""ชุ"&amp;"มพร!L162"")+IMPORTRANGE(""https://docs.google.com/spreadsheets/d/16pAz3pOhQEZBhvFNMa5KGgZS6iKWpsKX0pg6tQmwFpo/edit?usp=sharing"",""ตรัง!L162"")+IMPORTRANGE(""https://docs.google.com/spreadsheets/d/1Dj4jcHCTV9JXKCaMoheSXS52JE63kDKyG7bPXnFogHk/edit?usp=shar"&amp;"ing"",""นครศรีธรรมราช!L162"")+IMPORTRANGE(""https://docs.google.com/spreadsheets/d/1iodCdmuK2GR3jzUwk8tpccY2JHQQA-87DLOtJP-ooyU/edit?usp=sharing"",""นราธิวาส!L162"")+IMPORTRANGE(""https://docs.google.com/spreadsheets/d/1SDNX3JhDdYRuIOsj0Wh2M-Qa_eaXl0NbWmh"&amp;"AOTbfQAs/edit?usp=sharing"",""ปัตตานี!L162"")+IMPORTRANGE(""https://docs.google.com/spreadsheets/d/16JDLGguT8s5DsGCND1KcwHP_AWR_zDMTqLHPLJUKhaU/edit?usp=sharing"",""พังงา!L162"")+IMPORTRANGE(""https://docs.google.com/spreadsheets/d/17ht0gPKzzT3PObBL1XJkeR"&amp;"mntBXI7wGjpLV7QorqlTk/edit?usp=sharing"",""พัทลุง!L162"")+IMPORTRANGE(""https://docs.google.com/spreadsheets/d/1rd4qoM1q_hsgaolqNGfrim9gbsoLxQsda4-vOz5x_BM/edit?usp=sharing"",""ภูเก็ต!L162"")+IMPORTRANGE(""https://docs.google.com/spreadsheets/d/1woKwKjgoL"&amp;"ssDvPcPeVyezB5izizAn4X1JDrys69n6xI/edit?usp=sharing"",""ยะลา!L162"")+IMPORTRANGE(""https://docs.google.com/spreadsheets/d/1qfrKjzMhm2HJfxQ-qVlJlJQ25Hne1d0khsySbZyGtPA/edit?usp=sharing"",""ระนอง!L162"")+IMPORTRANGE(""https://docs.google.com/spreadsheets/d/"&amp;"1IbSCnFOKpZsnFogBHJnL_isstZVaOMnFiIN0fGTPZZw/edit?usp=sharing"",""สงขลา!L162"")+IMPORTRANGE(""https://docs.google.com/spreadsheets/d/1q9nWasZJ-K8bFGvbE9n0qSRuKGA4Toe3Y89cKCiVtCU/edit?usp=sharing"",""สตูล!L162"")+IMPORTRANGE(""https://docs.google.com/sprea"&amp;"dsheets/d/18T20gbkS_WBjdscyTOV05cvq_JqvqQ17C81mpxf7Ncs/edit?usp=sharing"",""สุราษฎร์ธานี!L162"")"),6000)</f>
        <v>6000</v>
      </c>
      <c r="M162" s="59">
        <f ca="1">IFERROR(__xludf.DUMMYFUNCTION("IMPORTRANGE(""https://docs.google.com/spreadsheets/d/1kKUcYdkIfrgTSj8iHHHB2MD2FAtwyyocFgqGQn6ADyI/edit?usp=sharing"",""กระบี่!M162"")+IMPORTRANGE(""https://docs.google.com/spreadsheets/d/1GwtLaSlNZkLk7iDqcyZz22giiy40b_usZZBXYciEN1U/edit?usp=sharing"",""ชุ"&amp;"มพร!M162"")+IMPORTRANGE(""https://docs.google.com/spreadsheets/d/16pAz3pOhQEZBhvFNMa5KGgZS6iKWpsKX0pg6tQmwFpo/edit?usp=sharing"",""ตรัง!M162"")+IMPORTRANGE(""https://docs.google.com/spreadsheets/d/1Dj4jcHCTV9JXKCaMoheSXS52JE63kDKyG7bPXnFogHk/edit?usp=shar"&amp;"ing"",""นครศรีธรรมราช!M162"")+IMPORTRANGE(""https://docs.google.com/spreadsheets/d/1iodCdmuK2GR3jzUwk8tpccY2JHQQA-87DLOtJP-ooyU/edit?usp=sharing"",""นราธิวาส!M162"")+IMPORTRANGE(""https://docs.google.com/spreadsheets/d/1SDNX3JhDdYRuIOsj0Wh2M-Qa_eaXl0NbWmh"&amp;"AOTbfQAs/edit?usp=sharing"",""ปัตตานี!M162"")+IMPORTRANGE(""https://docs.google.com/spreadsheets/d/16JDLGguT8s5DsGCND1KcwHP_AWR_zDMTqLHPLJUKhaU/edit?usp=sharing"",""พังงา!M162"")+IMPORTRANGE(""https://docs.google.com/spreadsheets/d/17ht0gPKzzT3PObBL1XJkeR"&amp;"mntBXI7wGjpLV7QorqlTk/edit?usp=sharing"",""พัทลุง!M162"")+IMPORTRANGE(""https://docs.google.com/spreadsheets/d/1rd4qoM1q_hsgaolqNGfrim9gbsoLxQsda4-vOz5x_BM/edit?usp=sharing"",""ภูเก็ต!M162"")+IMPORTRANGE(""https://docs.google.com/spreadsheets/d/1woKwKjgoL"&amp;"ssDvPcPeVyezB5izizAn4X1JDrys69n6xI/edit?usp=sharing"",""ยะลา!M162"")+IMPORTRANGE(""https://docs.google.com/spreadsheets/d/1qfrKjzMhm2HJfxQ-qVlJlJQ25Hne1d0khsySbZyGtPA/edit?usp=sharing"",""ระนอง!M162"")+IMPORTRANGE(""https://docs.google.com/spreadsheets/d/"&amp;"1IbSCnFOKpZsnFogBHJnL_isstZVaOMnFiIN0fGTPZZw/edit?usp=sharing"",""สงขลา!M162"")+IMPORTRANGE(""https://docs.google.com/spreadsheets/d/1q9nWasZJ-K8bFGvbE9n0qSRuKGA4Toe3Y89cKCiVtCU/edit?usp=sharing"",""สตูล!M162"")+IMPORTRANGE(""https://docs.google.com/sprea"&amp;"dsheets/d/18T20gbkS_WBjdscyTOV05cvq_JqvqQ17C81mpxf7Ncs/edit?usp=sharing"",""สุราษฎร์ธานี!M162"")"),0)</f>
        <v>0</v>
      </c>
      <c r="N162" s="59">
        <f ca="1">IFERROR(__xludf.DUMMYFUNCTION("IMPORTRANGE(""https://docs.google.com/spreadsheets/d/1kKUcYdkIfrgTSj8iHHHB2MD2FAtwyyocFgqGQn6ADyI/edit?usp=sharing"",""กระบี่!N162"")+IMPORTRANGE(""https://docs.google.com/spreadsheets/d/1GwtLaSlNZkLk7iDqcyZz22giiy40b_usZZBXYciEN1U/edit?usp=sharing"",""ชุ"&amp;"มพร!N162"")+IMPORTRANGE(""https://docs.google.com/spreadsheets/d/16pAz3pOhQEZBhvFNMa5KGgZS6iKWpsKX0pg6tQmwFpo/edit?usp=sharing"",""ตรัง!N162"")+IMPORTRANGE(""https://docs.google.com/spreadsheets/d/1Dj4jcHCTV9JXKCaMoheSXS52JE63kDKyG7bPXnFogHk/edit?usp=shar"&amp;"ing"",""นครศรีธรรมราช!N162"")+IMPORTRANGE(""https://docs.google.com/spreadsheets/d/1iodCdmuK2GR3jzUwk8tpccY2JHQQA-87DLOtJP-ooyU/edit?usp=sharing"",""นราธิวาส!N162"")+IMPORTRANGE(""https://docs.google.com/spreadsheets/d/1SDNX3JhDdYRuIOsj0Wh2M-Qa_eaXl0NbWmh"&amp;"AOTbfQAs/edit?usp=sharing"",""ปัตตานี!N162"")+IMPORTRANGE(""https://docs.google.com/spreadsheets/d/16JDLGguT8s5DsGCND1KcwHP_AWR_zDMTqLHPLJUKhaU/edit?usp=sharing"",""พังงา!N162"")+IMPORTRANGE(""https://docs.google.com/spreadsheets/d/17ht0gPKzzT3PObBL1XJkeR"&amp;"mntBXI7wGjpLV7QorqlTk/edit?usp=sharing"",""พัทลุง!N162"")+IMPORTRANGE(""https://docs.google.com/spreadsheets/d/1rd4qoM1q_hsgaolqNGfrim9gbsoLxQsda4-vOz5x_BM/edit?usp=sharing"",""ภูเก็ต!N162"")+IMPORTRANGE(""https://docs.google.com/spreadsheets/d/1woKwKjgoL"&amp;"ssDvPcPeVyezB5izizAn4X1JDrys69n6xI/edit?usp=sharing"",""ยะลา!N162"")+IMPORTRANGE(""https://docs.google.com/spreadsheets/d/1qfrKjzMhm2HJfxQ-qVlJlJQ25Hne1d0khsySbZyGtPA/edit?usp=sharing"",""ระนอง!N162"")+IMPORTRANGE(""https://docs.google.com/spreadsheets/d/"&amp;"1IbSCnFOKpZsnFogBHJnL_isstZVaOMnFiIN0fGTPZZw/edit?usp=sharing"",""สงขลา!N162"")+IMPORTRANGE(""https://docs.google.com/spreadsheets/d/1q9nWasZJ-K8bFGvbE9n0qSRuKGA4Toe3Y89cKCiVtCU/edit?usp=sharing"",""สตูล!N162"")+IMPORTRANGE(""https://docs.google.com/sprea"&amp;"dsheets/d/18T20gbkS_WBjdscyTOV05cvq_JqvqQ17C81mpxf7Ncs/edit?usp=sharing"",""สุราษฎร์ธานี!N162"")"),0)</f>
        <v>0</v>
      </c>
      <c r="O162" s="59">
        <f t="shared" ca="1" si="74"/>
        <v>0</v>
      </c>
      <c r="P162" s="59">
        <f t="shared" ca="1" si="75"/>
        <v>0</v>
      </c>
    </row>
    <row r="163" spans="1:16" ht="18.75" x14ac:dyDescent="0.25">
      <c r="A163" s="157"/>
      <c r="B163" s="53"/>
      <c r="C163" s="53"/>
      <c r="D163" s="54" t="s">
        <v>21</v>
      </c>
      <c r="E163" s="53"/>
      <c r="F163" s="53"/>
      <c r="G163" s="55"/>
      <c r="H163" s="166" t="s">
        <v>12</v>
      </c>
      <c r="I163" s="164"/>
      <c r="J163" s="164"/>
      <c r="K163" s="165"/>
      <c r="L163" s="59">
        <f t="shared" ref="L163:N163" ca="1" si="79">L164+L165</f>
        <v>0</v>
      </c>
      <c r="M163" s="59">
        <f t="shared" ca="1" si="79"/>
        <v>0</v>
      </c>
      <c r="N163" s="59">
        <f t="shared" ca="1" si="79"/>
        <v>0</v>
      </c>
      <c r="O163" s="59">
        <f t="shared" ca="1" si="74"/>
        <v>0</v>
      </c>
      <c r="P163" s="59">
        <f t="shared" ca="1" si="75"/>
        <v>0</v>
      </c>
    </row>
    <row r="164" spans="1:16" ht="18.75" x14ac:dyDescent="0.25">
      <c r="A164" s="157"/>
      <c r="B164" s="53"/>
      <c r="C164" s="53"/>
      <c r="D164" s="53"/>
      <c r="E164" s="60" t="s">
        <v>18</v>
      </c>
      <c r="F164" s="53"/>
      <c r="G164" s="55"/>
      <c r="H164" s="163" t="s">
        <v>12</v>
      </c>
      <c r="I164" s="164"/>
      <c r="J164" s="164"/>
      <c r="K164" s="165"/>
      <c r="L164" s="59">
        <f ca="1">IFERROR(__xludf.DUMMYFUNCTION("IMPORTRANGE(""https://docs.google.com/spreadsheets/d/1kKUcYdkIfrgTSj8iHHHB2MD2FAtwyyocFgqGQn6ADyI/edit?usp=sharing"",""กระบี่!L164"")+IMPORTRANGE(""https://docs.google.com/spreadsheets/d/1GwtLaSlNZkLk7iDqcyZz22giiy40b_usZZBXYciEN1U/edit?usp=sharing"",""ชุ"&amp;"มพร!L164"")+IMPORTRANGE(""https://docs.google.com/spreadsheets/d/16pAz3pOhQEZBhvFNMa5KGgZS6iKWpsKX0pg6tQmwFpo/edit?usp=sharing"",""ตรัง!L164"")+IMPORTRANGE(""https://docs.google.com/spreadsheets/d/1Dj4jcHCTV9JXKCaMoheSXS52JE63kDKyG7bPXnFogHk/edit?usp=shar"&amp;"ing"",""นครศรีธรรมราช!L164"")+IMPORTRANGE(""https://docs.google.com/spreadsheets/d/1iodCdmuK2GR3jzUwk8tpccY2JHQQA-87DLOtJP-ooyU/edit?usp=sharing"",""นราธิวาส!L164"")+IMPORTRANGE(""https://docs.google.com/spreadsheets/d/1SDNX3JhDdYRuIOsj0Wh2M-Qa_eaXl0NbWmh"&amp;"AOTbfQAs/edit?usp=sharing"",""ปัตตานี!L164"")+IMPORTRANGE(""https://docs.google.com/spreadsheets/d/16JDLGguT8s5DsGCND1KcwHP_AWR_zDMTqLHPLJUKhaU/edit?usp=sharing"",""พังงา!L164"")+IMPORTRANGE(""https://docs.google.com/spreadsheets/d/17ht0gPKzzT3PObBL1XJkeR"&amp;"mntBXI7wGjpLV7QorqlTk/edit?usp=sharing"",""พัทลุง!L164"")+IMPORTRANGE(""https://docs.google.com/spreadsheets/d/1rd4qoM1q_hsgaolqNGfrim9gbsoLxQsda4-vOz5x_BM/edit?usp=sharing"",""ภูเก็ต!L164"")+IMPORTRANGE(""https://docs.google.com/spreadsheets/d/1woKwKjgoL"&amp;"ssDvPcPeVyezB5izizAn4X1JDrys69n6xI/edit?usp=sharing"",""ยะลา!L164"")+IMPORTRANGE(""https://docs.google.com/spreadsheets/d/1qfrKjzMhm2HJfxQ-qVlJlJQ25Hne1d0khsySbZyGtPA/edit?usp=sharing"",""ระนอง!L164"")+IMPORTRANGE(""https://docs.google.com/spreadsheets/d/"&amp;"1IbSCnFOKpZsnFogBHJnL_isstZVaOMnFiIN0fGTPZZw/edit?usp=sharing"",""สงขลา!L164"")+IMPORTRANGE(""https://docs.google.com/spreadsheets/d/1q9nWasZJ-K8bFGvbE9n0qSRuKGA4Toe3Y89cKCiVtCU/edit?usp=sharing"",""สตูล!L164"")+IMPORTRANGE(""https://docs.google.com/sprea"&amp;"dsheets/d/18T20gbkS_WBjdscyTOV05cvq_JqvqQ17C81mpxf7Ncs/edit?usp=sharing"",""สุราษฎร์ธานี!L164"")"),0)</f>
        <v>0</v>
      </c>
      <c r="M164" s="59">
        <f ca="1">IFERROR(__xludf.DUMMYFUNCTION("IMPORTRANGE(""https://docs.google.com/spreadsheets/d/1kKUcYdkIfrgTSj8iHHHB2MD2FAtwyyocFgqGQn6ADyI/edit?usp=sharing"",""กระบี่!M164"")+IMPORTRANGE(""https://docs.google.com/spreadsheets/d/1GwtLaSlNZkLk7iDqcyZz22giiy40b_usZZBXYciEN1U/edit?usp=sharing"",""ชุ"&amp;"มพร!M164"")+IMPORTRANGE(""https://docs.google.com/spreadsheets/d/16pAz3pOhQEZBhvFNMa5KGgZS6iKWpsKX0pg6tQmwFpo/edit?usp=sharing"",""ตรัง!M164"")+IMPORTRANGE(""https://docs.google.com/spreadsheets/d/1Dj4jcHCTV9JXKCaMoheSXS52JE63kDKyG7bPXnFogHk/edit?usp=shar"&amp;"ing"",""นครศรีธรรมราช!M164"")+IMPORTRANGE(""https://docs.google.com/spreadsheets/d/1iodCdmuK2GR3jzUwk8tpccY2JHQQA-87DLOtJP-ooyU/edit?usp=sharing"",""นราธิวาส!M164"")+IMPORTRANGE(""https://docs.google.com/spreadsheets/d/1SDNX3JhDdYRuIOsj0Wh2M-Qa_eaXl0NbWmh"&amp;"AOTbfQAs/edit?usp=sharing"",""ปัตตานี!M164"")+IMPORTRANGE(""https://docs.google.com/spreadsheets/d/16JDLGguT8s5DsGCND1KcwHP_AWR_zDMTqLHPLJUKhaU/edit?usp=sharing"",""พังงา!M164"")+IMPORTRANGE(""https://docs.google.com/spreadsheets/d/17ht0gPKzzT3PObBL1XJkeR"&amp;"mntBXI7wGjpLV7QorqlTk/edit?usp=sharing"",""พัทลุง!M164"")+IMPORTRANGE(""https://docs.google.com/spreadsheets/d/1rd4qoM1q_hsgaolqNGfrim9gbsoLxQsda4-vOz5x_BM/edit?usp=sharing"",""ภูเก็ต!M164"")+IMPORTRANGE(""https://docs.google.com/spreadsheets/d/1woKwKjgoL"&amp;"ssDvPcPeVyezB5izizAn4X1JDrys69n6xI/edit?usp=sharing"",""ยะลา!M164"")+IMPORTRANGE(""https://docs.google.com/spreadsheets/d/1qfrKjzMhm2HJfxQ-qVlJlJQ25Hne1d0khsySbZyGtPA/edit?usp=sharing"",""ระนอง!M164"")+IMPORTRANGE(""https://docs.google.com/spreadsheets/d/"&amp;"1IbSCnFOKpZsnFogBHJnL_isstZVaOMnFiIN0fGTPZZw/edit?usp=sharing"",""สงขลา!M164"")+IMPORTRANGE(""https://docs.google.com/spreadsheets/d/1q9nWasZJ-K8bFGvbE9n0qSRuKGA4Toe3Y89cKCiVtCU/edit?usp=sharing"",""สตูล!M164"")+IMPORTRANGE(""https://docs.google.com/sprea"&amp;"dsheets/d/18T20gbkS_WBjdscyTOV05cvq_JqvqQ17C81mpxf7Ncs/edit?usp=sharing"",""สุราษฎร์ธานี!M164"")"),0)</f>
        <v>0</v>
      </c>
      <c r="N164" s="59">
        <f ca="1">IFERROR(__xludf.DUMMYFUNCTION("IMPORTRANGE(""https://docs.google.com/spreadsheets/d/1kKUcYdkIfrgTSj8iHHHB2MD2FAtwyyocFgqGQn6ADyI/edit?usp=sharing"",""กระบี่!N164"")+IMPORTRANGE(""https://docs.google.com/spreadsheets/d/1GwtLaSlNZkLk7iDqcyZz22giiy40b_usZZBXYciEN1U/edit?usp=sharing"",""ชุ"&amp;"มพร!N164"")+IMPORTRANGE(""https://docs.google.com/spreadsheets/d/16pAz3pOhQEZBhvFNMa5KGgZS6iKWpsKX0pg6tQmwFpo/edit?usp=sharing"",""ตรัง!N164"")+IMPORTRANGE(""https://docs.google.com/spreadsheets/d/1Dj4jcHCTV9JXKCaMoheSXS52JE63kDKyG7bPXnFogHk/edit?usp=shar"&amp;"ing"",""นครศรีธรรมราช!N164"")+IMPORTRANGE(""https://docs.google.com/spreadsheets/d/1iodCdmuK2GR3jzUwk8tpccY2JHQQA-87DLOtJP-ooyU/edit?usp=sharing"",""นราธิวาส!N164"")+IMPORTRANGE(""https://docs.google.com/spreadsheets/d/1SDNX3JhDdYRuIOsj0Wh2M-Qa_eaXl0NbWmh"&amp;"AOTbfQAs/edit?usp=sharing"",""ปัตตานี!N164"")+IMPORTRANGE(""https://docs.google.com/spreadsheets/d/16JDLGguT8s5DsGCND1KcwHP_AWR_zDMTqLHPLJUKhaU/edit?usp=sharing"",""พังงา!N164"")+IMPORTRANGE(""https://docs.google.com/spreadsheets/d/17ht0gPKzzT3PObBL1XJkeR"&amp;"mntBXI7wGjpLV7QorqlTk/edit?usp=sharing"",""พัทลุง!N164"")+IMPORTRANGE(""https://docs.google.com/spreadsheets/d/1rd4qoM1q_hsgaolqNGfrim9gbsoLxQsda4-vOz5x_BM/edit?usp=sharing"",""ภูเก็ต!N164"")+IMPORTRANGE(""https://docs.google.com/spreadsheets/d/1woKwKjgoL"&amp;"ssDvPcPeVyezB5izizAn4X1JDrys69n6xI/edit?usp=sharing"",""ยะลา!N164"")+IMPORTRANGE(""https://docs.google.com/spreadsheets/d/1qfrKjzMhm2HJfxQ-qVlJlJQ25Hne1d0khsySbZyGtPA/edit?usp=sharing"",""ระนอง!N164"")+IMPORTRANGE(""https://docs.google.com/spreadsheets/d/"&amp;"1IbSCnFOKpZsnFogBHJnL_isstZVaOMnFiIN0fGTPZZw/edit?usp=sharing"",""สงขลา!N164"")+IMPORTRANGE(""https://docs.google.com/spreadsheets/d/1q9nWasZJ-K8bFGvbE9n0qSRuKGA4Toe3Y89cKCiVtCU/edit?usp=sharing"",""สตูล!N164"")+IMPORTRANGE(""https://docs.google.com/sprea"&amp;"dsheets/d/18T20gbkS_WBjdscyTOV05cvq_JqvqQ17C81mpxf7Ncs/edit?usp=sharing"",""สุราษฎร์ธานี!N164"")"),0)</f>
        <v>0</v>
      </c>
      <c r="O164" s="59">
        <f t="shared" ca="1" si="74"/>
        <v>0</v>
      </c>
      <c r="P164" s="59">
        <f t="shared" ca="1" si="75"/>
        <v>0</v>
      </c>
    </row>
    <row r="165" spans="1:16" ht="18.75" x14ac:dyDescent="0.25">
      <c r="A165" s="157"/>
      <c r="B165" s="53"/>
      <c r="C165" s="53"/>
      <c r="D165" s="53"/>
      <c r="E165" s="60" t="s">
        <v>19</v>
      </c>
      <c r="F165" s="53"/>
      <c r="G165" s="55"/>
      <c r="H165" s="166" t="s">
        <v>12</v>
      </c>
      <c r="I165" s="164"/>
      <c r="J165" s="164"/>
      <c r="K165" s="165"/>
      <c r="L165" s="59">
        <f ca="1">IFERROR(__xludf.DUMMYFUNCTION("IMPORTRANGE(""https://docs.google.com/spreadsheets/d/1kKUcYdkIfrgTSj8iHHHB2MD2FAtwyyocFgqGQn6ADyI/edit?usp=sharing"",""กระบี่!L165"")+IMPORTRANGE(""https://docs.google.com/spreadsheets/d/1GwtLaSlNZkLk7iDqcyZz22giiy40b_usZZBXYciEN1U/edit?usp=sharing"",""ชุ"&amp;"มพร!L165"")+IMPORTRANGE(""https://docs.google.com/spreadsheets/d/16pAz3pOhQEZBhvFNMa5KGgZS6iKWpsKX0pg6tQmwFpo/edit?usp=sharing"",""ตรัง!L165"")+IMPORTRANGE(""https://docs.google.com/spreadsheets/d/1Dj4jcHCTV9JXKCaMoheSXS52JE63kDKyG7bPXnFogHk/edit?usp=shar"&amp;"ing"",""นครศรีธรรมราช!L165"")+IMPORTRANGE(""https://docs.google.com/spreadsheets/d/1iodCdmuK2GR3jzUwk8tpccY2JHQQA-87DLOtJP-ooyU/edit?usp=sharing"",""นราธิวาส!L165"")+IMPORTRANGE(""https://docs.google.com/spreadsheets/d/1SDNX3JhDdYRuIOsj0Wh2M-Qa_eaXl0NbWmh"&amp;"AOTbfQAs/edit?usp=sharing"",""ปัตตานี!L165"")+IMPORTRANGE(""https://docs.google.com/spreadsheets/d/16JDLGguT8s5DsGCND1KcwHP_AWR_zDMTqLHPLJUKhaU/edit?usp=sharing"",""พังงา!L165"")+IMPORTRANGE(""https://docs.google.com/spreadsheets/d/17ht0gPKzzT3PObBL1XJkeR"&amp;"mntBXI7wGjpLV7QorqlTk/edit?usp=sharing"",""พัทลุง!L165"")+IMPORTRANGE(""https://docs.google.com/spreadsheets/d/1rd4qoM1q_hsgaolqNGfrim9gbsoLxQsda4-vOz5x_BM/edit?usp=sharing"",""ภูเก็ต!L165"")+IMPORTRANGE(""https://docs.google.com/spreadsheets/d/1woKwKjgoL"&amp;"ssDvPcPeVyezB5izizAn4X1JDrys69n6xI/edit?usp=sharing"",""ยะลา!L165"")+IMPORTRANGE(""https://docs.google.com/spreadsheets/d/1qfrKjzMhm2HJfxQ-qVlJlJQ25Hne1d0khsySbZyGtPA/edit?usp=sharing"",""ระนอง!L165"")+IMPORTRANGE(""https://docs.google.com/spreadsheets/d/"&amp;"1IbSCnFOKpZsnFogBHJnL_isstZVaOMnFiIN0fGTPZZw/edit?usp=sharing"",""สงขลา!L165"")+IMPORTRANGE(""https://docs.google.com/spreadsheets/d/1q9nWasZJ-K8bFGvbE9n0qSRuKGA4Toe3Y89cKCiVtCU/edit?usp=sharing"",""สตูล!L165"")+IMPORTRANGE(""https://docs.google.com/sprea"&amp;"dsheets/d/18T20gbkS_WBjdscyTOV05cvq_JqvqQ17C81mpxf7Ncs/edit?usp=sharing"",""สุราษฎร์ธานี!L165"")"),0)</f>
        <v>0</v>
      </c>
      <c r="M165" s="59">
        <f ca="1">IFERROR(__xludf.DUMMYFUNCTION("IMPORTRANGE(""https://docs.google.com/spreadsheets/d/1kKUcYdkIfrgTSj8iHHHB2MD2FAtwyyocFgqGQn6ADyI/edit?usp=sharing"",""กระบี่!M165"")+IMPORTRANGE(""https://docs.google.com/spreadsheets/d/1GwtLaSlNZkLk7iDqcyZz22giiy40b_usZZBXYciEN1U/edit?usp=sharing"",""ชุ"&amp;"มพร!M165"")+IMPORTRANGE(""https://docs.google.com/spreadsheets/d/16pAz3pOhQEZBhvFNMa5KGgZS6iKWpsKX0pg6tQmwFpo/edit?usp=sharing"",""ตรัง!M165"")+IMPORTRANGE(""https://docs.google.com/spreadsheets/d/1Dj4jcHCTV9JXKCaMoheSXS52JE63kDKyG7bPXnFogHk/edit?usp=shar"&amp;"ing"",""นครศรีธรรมราช!M165"")+IMPORTRANGE(""https://docs.google.com/spreadsheets/d/1iodCdmuK2GR3jzUwk8tpccY2JHQQA-87DLOtJP-ooyU/edit?usp=sharing"",""นราธิวาส!M165"")+IMPORTRANGE(""https://docs.google.com/spreadsheets/d/1SDNX3JhDdYRuIOsj0Wh2M-Qa_eaXl0NbWmh"&amp;"AOTbfQAs/edit?usp=sharing"",""ปัตตานี!M165"")+IMPORTRANGE(""https://docs.google.com/spreadsheets/d/16JDLGguT8s5DsGCND1KcwHP_AWR_zDMTqLHPLJUKhaU/edit?usp=sharing"",""พังงา!M165"")+IMPORTRANGE(""https://docs.google.com/spreadsheets/d/17ht0gPKzzT3PObBL1XJkeR"&amp;"mntBXI7wGjpLV7QorqlTk/edit?usp=sharing"",""พัทลุง!M165"")+IMPORTRANGE(""https://docs.google.com/spreadsheets/d/1rd4qoM1q_hsgaolqNGfrim9gbsoLxQsda4-vOz5x_BM/edit?usp=sharing"",""ภูเก็ต!M165"")+IMPORTRANGE(""https://docs.google.com/spreadsheets/d/1woKwKjgoL"&amp;"ssDvPcPeVyezB5izizAn4X1JDrys69n6xI/edit?usp=sharing"",""ยะลา!M165"")+IMPORTRANGE(""https://docs.google.com/spreadsheets/d/1qfrKjzMhm2HJfxQ-qVlJlJQ25Hne1d0khsySbZyGtPA/edit?usp=sharing"",""ระนอง!M165"")+IMPORTRANGE(""https://docs.google.com/spreadsheets/d/"&amp;"1IbSCnFOKpZsnFogBHJnL_isstZVaOMnFiIN0fGTPZZw/edit?usp=sharing"",""สงขลา!M165"")+IMPORTRANGE(""https://docs.google.com/spreadsheets/d/1q9nWasZJ-K8bFGvbE9n0qSRuKGA4Toe3Y89cKCiVtCU/edit?usp=sharing"",""สตูล!M165"")+IMPORTRANGE(""https://docs.google.com/sprea"&amp;"dsheets/d/18T20gbkS_WBjdscyTOV05cvq_JqvqQ17C81mpxf7Ncs/edit?usp=sharing"",""สุราษฎร์ธานี!M165"")"),0)</f>
        <v>0</v>
      </c>
      <c r="N165" s="59">
        <f ca="1">IFERROR(__xludf.DUMMYFUNCTION("IMPORTRANGE(""https://docs.google.com/spreadsheets/d/1kKUcYdkIfrgTSj8iHHHB2MD2FAtwyyocFgqGQn6ADyI/edit?usp=sharing"",""กระบี่!N165"")+IMPORTRANGE(""https://docs.google.com/spreadsheets/d/1GwtLaSlNZkLk7iDqcyZz22giiy40b_usZZBXYciEN1U/edit?usp=sharing"",""ชุ"&amp;"มพร!N165"")+IMPORTRANGE(""https://docs.google.com/spreadsheets/d/16pAz3pOhQEZBhvFNMa5KGgZS6iKWpsKX0pg6tQmwFpo/edit?usp=sharing"",""ตรัง!N165"")+IMPORTRANGE(""https://docs.google.com/spreadsheets/d/1Dj4jcHCTV9JXKCaMoheSXS52JE63kDKyG7bPXnFogHk/edit?usp=shar"&amp;"ing"",""นครศรีธรรมราช!N165"")+IMPORTRANGE(""https://docs.google.com/spreadsheets/d/1iodCdmuK2GR3jzUwk8tpccY2JHQQA-87DLOtJP-ooyU/edit?usp=sharing"",""นราธิวาส!N165"")+IMPORTRANGE(""https://docs.google.com/spreadsheets/d/1SDNX3JhDdYRuIOsj0Wh2M-Qa_eaXl0NbWmh"&amp;"AOTbfQAs/edit?usp=sharing"",""ปัตตานี!N165"")+IMPORTRANGE(""https://docs.google.com/spreadsheets/d/16JDLGguT8s5DsGCND1KcwHP_AWR_zDMTqLHPLJUKhaU/edit?usp=sharing"",""พังงา!N165"")+IMPORTRANGE(""https://docs.google.com/spreadsheets/d/17ht0gPKzzT3PObBL1XJkeR"&amp;"mntBXI7wGjpLV7QorqlTk/edit?usp=sharing"",""พัทลุง!N165"")+IMPORTRANGE(""https://docs.google.com/spreadsheets/d/1rd4qoM1q_hsgaolqNGfrim9gbsoLxQsda4-vOz5x_BM/edit?usp=sharing"",""ภูเก็ต!N165"")+IMPORTRANGE(""https://docs.google.com/spreadsheets/d/1woKwKjgoL"&amp;"ssDvPcPeVyezB5izizAn4X1JDrys69n6xI/edit?usp=sharing"",""ยะลา!N165"")+IMPORTRANGE(""https://docs.google.com/spreadsheets/d/1qfrKjzMhm2HJfxQ-qVlJlJQ25Hne1d0khsySbZyGtPA/edit?usp=sharing"",""ระนอง!N165"")+IMPORTRANGE(""https://docs.google.com/spreadsheets/d/"&amp;"1IbSCnFOKpZsnFogBHJnL_isstZVaOMnFiIN0fGTPZZw/edit?usp=sharing"",""สงขลา!N165"")+IMPORTRANGE(""https://docs.google.com/spreadsheets/d/1q9nWasZJ-K8bFGvbE9n0qSRuKGA4Toe3Y89cKCiVtCU/edit?usp=sharing"",""สตูล!N165"")+IMPORTRANGE(""https://docs.google.com/sprea"&amp;"dsheets/d/18T20gbkS_WBjdscyTOV05cvq_JqvqQ17C81mpxf7Ncs/edit?usp=sharing"",""สุราษฎร์ธานี!N165"")"),0)</f>
        <v>0</v>
      </c>
      <c r="O165" s="59">
        <f t="shared" ca="1" si="74"/>
        <v>0</v>
      </c>
      <c r="P165" s="59">
        <f t="shared" ca="1" si="75"/>
        <v>0</v>
      </c>
    </row>
    <row r="166" spans="1:16" ht="19.5" x14ac:dyDescent="0.3">
      <c r="A166" s="167"/>
      <c r="B166" s="168"/>
      <c r="C166" s="158" t="s">
        <v>16</v>
      </c>
      <c r="D166" s="169" t="s">
        <v>36</v>
      </c>
      <c r="E166" s="170"/>
      <c r="F166" s="170"/>
      <c r="G166" s="171"/>
      <c r="H166" s="225"/>
      <c r="I166" s="57"/>
      <c r="J166" s="57"/>
      <c r="K166" s="58"/>
      <c r="L166" s="58"/>
      <c r="M166" s="58"/>
      <c r="N166" s="58"/>
      <c r="O166" s="58"/>
      <c r="P166" s="58"/>
    </row>
    <row r="167" spans="1:16" ht="18.75" x14ac:dyDescent="0.25">
      <c r="A167" s="157"/>
      <c r="B167" s="53"/>
      <c r="C167" s="53"/>
      <c r="D167" s="250" t="s">
        <v>63</v>
      </c>
      <c r="E167" s="53"/>
      <c r="F167" s="53"/>
      <c r="G167" s="55"/>
      <c r="H167" s="166" t="s">
        <v>33</v>
      </c>
      <c r="I167" s="181">
        <f ca="1">IFERROR(__xludf.DUMMYFUNCTION("IMPORTRANGE(""https://docs.google.com/spreadsheets/d/1kKUcYdkIfrgTSj8iHHHB2MD2FAtwyyocFgqGQn6ADyI/edit?usp=sharing"",""กระบี่!I167"")+IMPORTRANGE(""https://docs.google.com/spreadsheets/d/1GwtLaSlNZkLk7iDqcyZz22giiy40b_usZZBXYciEN1U/edit?usp=sharing"",""ชุ"&amp;"มพร!I167"")+IMPORTRANGE(""https://docs.google.com/spreadsheets/d/16pAz3pOhQEZBhvFNMa5KGgZS6iKWpsKX0pg6tQmwFpo/edit?usp=sharing"",""ตรัง!I167"")+IMPORTRANGE(""https://docs.google.com/spreadsheets/d/1Dj4jcHCTV9JXKCaMoheSXS52JE63kDKyG7bPXnFogHk/edit?usp=shar"&amp;"ing"",""นครศรีธรรมราช!I167"")+IMPORTRANGE(""https://docs.google.com/spreadsheets/d/1iodCdmuK2GR3jzUwk8tpccY2JHQQA-87DLOtJP-ooyU/edit?usp=sharing"",""นราธิวาส!I167"")+IMPORTRANGE(""https://docs.google.com/spreadsheets/d/1SDNX3JhDdYRuIOsj0Wh2M-Qa_eaXl0NbWmh"&amp;"AOTbfQAs/edit?usp=sharing"",""ปัตตานี!I167"")+IMPORTRANGE(""https://docs.google.com/spreadsheets/d/16JDLGguT8s5DsGCND1KcwHP_AWR_zDMTqLHPLJUKhaU/edit?usp=sharing"",""พังงา!I167"")+IMPORTRANGE(""https://docs.google.com/spreadsheets/d/17ht0gPKzzT3PObBL1XJkeR"&amp;"mntBXI7wGjpLV7QorqlTk/edit?usp=sharing"",""พัทลุง!I167"")+IMPORTRANGE(""https://docs.google.com/spreadsheets/d/1rd4qoM1q_hsgaolqNGfrim9gbsoLxQsda4-vOz5x_BM/edit?usp=sharing"",""ภูเก็ต!I167"")+IMPORTRANGE(""https://docs.google.com/spreadsheets/d/1woKwKjgoL"&amp;"ssDvPcPeVyezB5izizAn4X1JDrys69n6xI/edit?usp=sharing"",""ยะลา!I167"")+IMPORTRANGE(""https://docs.google.com/spreadsheets/d/1qfrKjzMhm2HJfxQ-qVlJlJQ25Hne1d0khsySbZyGtPA/edit?usp=sharing"",""ระนอง!I167"")+IMPORTRANGE(""https://docs.google.com/spreadsheets/d/"&amp;"1IbSCnFOKpZsnFogBHJnL_isstZVaOMnFiIN0fGTPZZw/edit?usp=sharing"",""สงขลา!I167"")+IMPORTRANGE(""https://docs.google.com/spreadsheets/d/1q9nWasZJ-K8bFGvbE9n0qSRuKGA4Toe3Y89cKCiVtCU/edit?usp=sharing"",""สตูล!I167"")+IMPORTRANGE(""https://docs.google.com/sprea"&amp;"dsheets/d/18T20gbkS_WBjdscyTOV05cvq_JqvqQ17C81mpxf7Ncs/edit?usp=sharing"",""สุราษฎร์ธานี!I167"")"),20)</f>
        <v>20</v>
      </c>
      <c r="J167" s="181">
        <f ca="1">IFERROR(__xludf.DUMMYFUNCTION("IMPORTRANGE(""https://docs.google.com/spreadsheets/d/1kKUcYdkIfrgTSj8iHHHB2MD2FAtwyyocFgqGQn6ADyI/edit?usp=sharing"",""กระบี่!J167"")+IMPORTRANGE(""https://docs.google.com/spreadsheets/d/1GwtLaSlNZkLk7iDqcyZz22giiy40b_usZZBXYciEN1U/edit?usp=sharing"",""ชุ"&amp;"มพร!J167"")+IMPORTRANGE(""https://docs.google.com/spreadsheets/d/16pAz3pOhQEZBhvFNMa5KGgZS6iKWpsKX0pg6tQmwFpo/edit?usp=sharing"",""ตรัง!J167"")+IMPORTRANGE(""https://docs.google.com/spreadsheets/d/1Dj4jcHCTV9JXKCaMoheSXS52JE63kDKyG7bPXnFogHk/edit?usp=shar"&amp;"ing"",""นครศรีธรรมราช!J167"")+IMPORTRANGE(""https://docs.google.com/spreadsheets/d/1iodCdmuK2GR3jzUwk8tpccY2JHQQA-87DLOtJP-ooyU/edit?usp=sharing"",""นราธิวาส!J167"")+IMPORTRANGE(""https://docs.google.com/spreadsheets/d/1SDNX3JhDdYRuIOsj0Wh2M-Qa_eaXl0NbWmh"&amp;"AOTbfQAs/edit?usp=sharing"",""ปัตตานี!J167"")+IMPORTRANGE(""https://docs.google.com/spreadsheets/d/16JDLGguT8s5DsGCND1KcwHP_AWR_zDMTqLHPLJUKhaU/edit?usp=sharing"",""พังงา!J167"")+IMPORTRANGE(""https://docs.google.com/spreadsheets/d/17ht0gPKzzT3PObBL1XJkeR"&amp;"mntBXI7wGjpLV7QorqlTk/edit?usp=sharing"",""พัทลุง!J167"")+IMPORTRANGE(""https://docs.google.com/spreadsheets/d/1rd4qoM1q_hsgaolqNGfrim9gbsoLxQsda4-vOz5x_BM/edit?usp=sharing"",""ภูเก็ต!J167"")+IMPORTRANGE(""https://docs.google.com/spreadsheets/d/1woKwKjgoL"&amp;"ssDvPcPeVyezB5izizAn4X1JDrys69n6xI/edit?usp=sharing"",""ยะลา!J167"")+IMPORTRANGE(""https://docs.google.com/spreadsheets/d/1qfrKjzMhm2HJfxQ-qVlJlJQ25Hne1d0khsySbZyGtPA/edit?usp=sharing"",""ระนอง!J167"")+IMPORTRANGE(""https://docs.google.com/spreadsheets/d/"&amp;"1IbSCnFOKpZsnFogBHJnL_isstZVaOMnFiIN0fGTPZZw/edit?usp=sharing"",""สงขลา!J167"")+IMPORTRANGE(""https://docs.google.com/spreadsheets/d/1q9nWasZJ-K8bFGvbE9n0qSRuKGA4Toe3Y89cKCiVtCU/edit?usp=sharing"",""สตูล!J167"")+IMPORTRANGE(""https://docs.google.com/sprea"&amp;"dsheets/d/18T20gbkS_WBjdscyTOV05cvq_JqvqQ17C81mpxf7Ncs/edit?usp=sharing"",""สุราษฎร์ธานี!J167"")"),0)</f>
        <v>0</v>
      </c>
      <c r="K167" s="59">
        <f t="shared" ref="K167:K169" ca="1" si="80">IF(I167&gt;0,J167*100/I167,0)</f>
        <v>0</v>
      </c>
      <c r="L167" s="58"/>
      <c r="M167" s="58"/>
      <c r="N167" s="58"/>
      <c r="O167" s="58"/>
      <c r="P167" s="58"/>
    </row>
    <row r="168" spans="1:16" ht="18.75" x14ac:dyDescent="0.25">
      <c r="A168" s="157"/>
      <c r="B168" s="53"/>
      <c r="C168" s="53"/>
      <c r="D168" s="250" t="s">
        <v>64</v>
      </c>
      <c r="E168" s="53"/>
      <c r="F168" s="53"/>
      <c r="G168" s="55"/>
      <c r="H168" s="166" t="s">
        <v>33</v>
      </c>
      <c r="I168" s="181">
        <f t="shared" ref="I168:I169" ca="1" si="81">I167</f>
        <v>20</v>
      </c>
      <c r="J168" s="181">
        <v>0</v>
      </c>
      <c r="K168" s="59">
        <f t="shared" ca="1" si="80"/>
        <v>0</v>
      </c>
      <c r="L168" s="58"/>
      <c r="M168" s="58"/>
      <c r="N168" s="58"/>
      <c r="O168" s="58"/>
      <c r="P168" s="58"/>
    </row>
    <row r="169" spans="1:16" ht="18.75" x14ac:dyDescent="0.25">
      <c r="A169" s="251"/>
      <c r="B169" s="1"/>
      <c r="C169" s="1"/>
      <c r="D169" s="252" t="s">
        <v>65</v>
      </c>
      <c r="E169" s="1"/>
      <c r="F169" s="1"/>
      <c r="G169" s="135"/>
      <c r="H169" s="253" t="s">
        <v>33</v>
      </c>
      <c r="I169" s="254">
        <f t="shared" ca="1" si="81"/>
        <v>20</v>
      </c>
      <c r="J169" s="254">
        <v>0</v>
      </c>
      <c r="K169" s="139">
        <f t="shared" ca="1" si="80"/>
        <v>0</v>
      </c>
      <c r="L169" s="138"/>
      <c r="M169" s="138"/>
      <c r="N169" s="138"/>
      <c r="O169" s="138"/>
      <c r="P169" s="138"/>
    </row>
    <row r="170" spans="1:16" ht="19.5" x14ac:dyDescent="0.3">
      <c r="A170" s="255" t="s">
        <v>66</v>
      </c>
      <c r="B170" s="256"/>
      <c r="C170" s="256"/>
      <c r="D170" s="256"/>
      <c r="E170" s="257"/>
      <c r="F170" s="257"/>
      <c r="G170" s="257"/>
      <c r="H170" s="257"/>
      <c r="I170" s="258"/>
      <c r="J170" s="258"/>
      <c r="K170" s="259"/>
      <c r="L170" s="259"/>
      <c r="M170" s="259"/>
      <c r="N170" s="259"/>
      <c r="O170" s="259"/>
      <c r="P170" s="260"/>
    </row>
    <row r="171" spans="1:16" ht="19.5" x14ac:dyDescent="0.3">
      <c r="A171" s="261" t="s">
        <v>67</v>
      </c>
      <c r="B171" s="262"/>
      <c r="C171" s="262"/>
      <c r="D171" s="263"/>
      <c r="E171" s="263"/>
      <c r="F171" s="263"/>
      <c r="G171" s="264"/>
      <c r="H171" s="264"/>
      <c r="I171" s="265"/>
      <c r="J171" s="265"/>
      <c r="K171" s="266"/>
      <c r="L171" s="266"/>
      <c r="M171" s="266"/>
      <c r="N171" s="266"/>
      <c r="O171" s="266"/>
      <c r="P171" s="266"/>
    </row>
    <row r="172" spans="1:16" ht="19.5" x14ac:dyDescent="0.3">
      <c r="A172" s="267"/>
      <c r="B172" s="268" t="s">
        <v>68</v>
      </c>
      <c r="C172" s="269"/>
      <c r="D172" s="170"/>
      <c r="E172" s="170"/>
      <c r="F172" s="170"/>
      <c r="G172" s="171"/>
      <c r="H172" s="270" t="s">
        <v>33</v>
      </c>
      <c r="I172" s="271">
        <f t="shared" ref="I172:J172" ca="1" si="82">I183+I184</f>
        <v>77</v>
      </c>
      <c r="J172" s="271">
        <f t="shared" ca="1" si="82"/>
        <v>14</v>
      </c>
      <c r="K172" s="272">
        <f ca="1">IF(I172&gt;0,J172*100/I172,0)</f>
        <v>18.181818181818183</v>
      </c>
      <c r="L172" s="273"/>
      <c r="M172" s="273"/>
      <c r="N172" s="273"/>
      <c r="O172" s="273"/>
      <c r="P172" s="273"/>
    </row>
    <row r="173" spans="1:16" ht="19.5" x14ac:dyDescent="0.3">
      <c r="A173" s="157"/>
      <c r="B173" s="53"/>
      <c r="C173" s="158" t="s">
        <v>16</v>
      </c>
      <c r="D173" s="159" t="s">
        <v>17</v>
      </c>
      <c r="E173" s="53"/>
      <c r="F173" s="53"/>
      <c r="G173" s="55"/>
      <c r="H173" s="160" t="s">
        <v>12</v>
      </c>
      <c r="I173" s="57"/>
      <c r="J173" s="57"/>
      <c r="K173" s="58"/>
      <c r="L173" s="161">
        <f t="shared" ref="L173:N173" ca="1" si="83">L174+L175</f>
        <v>215490</v>
      </c>
      <c r="M173" s="161">
        <f t="shared" ca="1" si="83"/>
        <v>215490</v>
      </c>
      <c r="N173" s="161">
        <f t="shared" ca="1" si="83"/>
        <v>113076</v>
      </c>
      <c r="O173" s="161">
        <f t="shared" ref="O173:O181" ca="1" si="84">IF(L173&gt;0,N173*100/L173,0)</f>
        <v>52.473896700542952</v>
      </c>
      <c r="P173" s="161">
        <f t="shared" ref="P173:P181" ca="1" si="85">IF(M173&gt;0,N173*100/M173,0)</f>
        <v>52.473896700542952</v>
      </c>
    </row>
    <row r="174" spans="1:16" ht="18.75" x14ac:dyDescent="0.25">
      <c r="A174" s="157"/>
      <c r="B174" s="53"/>
      <c r="C174" s="53"/>
      <c r="D174" s="53"/>
      <c r="E174" s="60" t="s">
        <v>18</v>
      </c>
      <c r="F174" s="53"/>
      <c r="G174" s="55"/>
      <c r="H174" s="162" t="s">
        <v>12</v>
      </c>
      <c r="I174" s="57"/>
      <c r="J174" s="57"/>
      <c r="K174" s="58"/>
      <c r="L174" s="59">
        <f t="shared" ref="L174:N174" ca="1" si="86">L177+L180</f>
        <v>0</v>
      </c>
      <c r="M174" s="59">
        <f t="shared" ca="1" si="86"/>
        <v>0</v>
      </c>
      <c r="N174" s="59">
        <f t="shared" ca="1" si="86"/>
        <v>0</v>
      </c>
      <c r="O174" s="59">
        <f t="shared" ca="1" si="84"/>
        <v>0</v>
      </c>
      <c r="P174" s="59">
        <f t="shared" ca="1" si="85"/>
        <v>0</v>
      </c>
    </row>
    <row r="175" spans="1:16" ht="18.75" x14ac:dyDescent="0.25">
      <c r="A175" s="157"/>
      <c r="B175" s="53"/>
      <c r="C175" s="53"/>
      <c r="D175" s="53"/>
      <c r="E175" s="60" t="s">
        <v>19</v>
      </c>
      <c r="F175" s="53"/>
      <c r="G175" s="55"/>
      <c r="H175" s="162" t="s">
        <v>12</v>
      </c>
      <c r="I175" s="57"/>
      <c r="J175" s="57"/>
      <c r="K175" s="58"/>
      <c r="L175" s="59">
        <f t="shared" ref="L175:N175" ca="1" si="87">L178+L181</f>
        <v>215490</v>
      </c>
      <c r="M175" s="59">
        <f t="shared" ca="1" si="87"/>
        <v>215490</v>
      </c>
      <c r="N175" s="59">
        <f t="shared" ca="1" si="87"/>
        <v>113076</v>
      </c>
      <c r="O175" s="59">
        <f t="shared" ca="1" si="84"/>
        <v>52.473896700542952</v>
      </c>
      <c r="P175" s="59">
        <f t="shared" ca="1" si="85"/>
        <v>52.473896700542952</v>
      </c>
    </row>
    <row r="176" spans="1:16" ht="18.75" x14ac:dyDescent="0.25">
      <c r="A176" s="157"/>
      <c r="B176" s="53"/>
      <c r="C176" s="53"/>
      <c r="D176" s="54" t="s">
        <v>20</v>
      </c>
      <c r="E176" s="53"/>
      <c r="F176" s="53"/>
      <c r="G176" s="55"/>
      <c r="H176" s="163" t="s">
        <v>12</v>
      </c>
      <c r="I176" s="164"/>
      <c r="J176" s="164"/>
      <c r="K176" s="165"/>
      <c r="L176" s="59">
        <f t="shared" ref="L176:N176" ca="1" si="88">L177+L178</f>
        <v>215490</v>
      </c>
      <c r="M176" s="59">
        <f t="shared" ca="1" si="88"/>
        <v>215490</v>
      </c>
      <c r="N176" s="59">
        <f t="shared" ca="1" si="88"/>
        <v>113076</v>
      </c>
      <c r="O176" s="59">
        <f t="shared" ca="1" si="84"/>
        <v>52.473896700542952</v>
      </c>
      <c r="P176" s="59">
        <f t="shared" ca="1" si="85"/>
        <v>52.473896700542952</v>
      </c>
    </row>
    <row r="177" spans="1:16" ht="18.75" x14ac:dyDescent="0.25">
      <c r="A177" s="157"/>
      <c r="B177" s="53"/>
      <c r="C177" s="53"/>
      <c r="D177" s="53"/>
      <c r="E177" s="60" t="s">
        <v>34</v>
      </c>
      <c r="F177" s="53"/>
      <c r="G177" s="55"/>
      <c r="H177" s="163" t="s">
        <v>12</v>
      </c>
      <c r="I177" s="164"/>
      <c r="J177" s="164"/>
      <c r="K177" s="165"/>
      <c r="L177" s="59">
        <f ca="1">IFERROR(__xludf.DUMMYFUNCTION("IMPORTRANGE(""https://docs.google.com/spreadsheets/d/1kKUcYdkIfrgTSj8iHHHB2MD2FAtwyyocFgqGQn6ADyI/edit?usp=sharing"",""กระบี่!L177"")+IMPORTRANGE(""https://docs.google.com/spreadsheets/d/1GwtLaSlNZkLk7iDqcyZz22giiy40b_usZZBXYciEN1U/edit?usp=sharing"",""ชุ"&amp;"มพร!L177"")+IMPORTRANGE(""https://docs.google.com/spreadsheets/d/16pAz3pOhQEZBhvFNMa5KGgZS6iKWpsKX0pg6tQmwFpo/edit?usp=sharing"",""ตรัง!L177"")+IMPORTRANGE(""https://docs.google.com/spreadsheets/d/1Dj4jcHCTV9JXKCaMoheSXS52JE63kDKyG7bPXnFogHk/edit?usp=shar"&amp;"ing"",""นครศรีธรรมราช!L177"")+IMPORTRANGE(""https://docs.google.com/spreadsheets/d/1iodCdmuK2GR3jzUwk8tpccY2JHQQA-87DLOtJP-ooyU/edit?usp=sharing"",""นราธิวาส!L177"")+IMPORTRANGE(""https://docs.google.com/spreadsheets/d/1SDNX3JhDdYRuIOsj0Wh2M-Qa_eaXl0NbWmh"&amp;"AOTbfQAs/edit?usp=sharing"",""ปัตตานี!L177"")+IMPORTRANGE(""https://docs.google.com/spreadsheets/d/16JDLGguT8s5DsGCND1KcwHP_AWR_zDMTqLHPLJUKhaU/edit?usp=sharing"",""พังงา!L177"")+IMPORTRANGE(""https://docs.google.com/spreadsheets/d/17ht0gPKzzT3PObBL1XJkeR"&amp;"mntBXI7wGjpLV7QorqlTk/edit?usp=sharing"",""พัทลุง!L177"")+IMPORTRANGE(""https://docs.google.com/spreadsheets/d/1rd4qoM1q_hsgaolqNGfrim9gbsoLxQsda4-vOz5x_BM/edit?usp=sharing"",""ภูเก็ต!L177"")+IMPORTRANGE(""https://docs.google.com/spreadsheets/d/1woKwKjgoL"&amp;"ssDvPcPeVyezB5izizAn4X1JDrys69n6xI/edit?usp=sharing"",""ยะลา!L177"")+IMPORTRANGE(""https://docs.google.com/spreadsheets/d/1qfrKjzMhm2HJfxQ-qVlJlJQ25Hne1d0khsySbZyGtPA/edit?usp=sharing"",""ระนอง!L177"")+IMPORTRANGE(""https://docs.google.com/spreadsheets/d/"&amp;"1IbSCnFOKpZsnFogBHJnL_isstZVaOMnFiIN0fGTPZZw/edit?usp=sharing"",""สงขลา!L177"")+IMPORTRANGE(""https://docs.google.com/spreadsheets/d/1q9nWasZJ-K8bFGvbE9n0qSRuKGA4Toe3Y89cKCiVtCU/edit?usp=sharing"",""สตูล!L177"")+IMPORTRANGE(""https://docs.google.com/sprea"&amp;"dsheets/d/18T20gbkS_WBjdscyTOV05cvq_JqvqQ17C81mpxf7Ncs/edit?usp=sharing"",""สุราษฎร์ธานี!L177"")"),0)</f>
        <v>0</v>
      </c>
      <c r="M177" s="59">
        <f ca="1">IFERROR(__xludf.DUMMYFUNCTION("IMPORTRANGE(""https://docs.google.com/spreadsheets/d/1kKUcYdkIfrgTSj8iHHHB2MD2FAtwyyocFgqGQn6ADyI/edit?usp=sharing"",""กระบี่!M177"")+IMPORTRANGE(""https://docs.google.com/spreadsheets/d/1GwtLaSlNZkLk7iDqcyZz22giiy40b_usZZBXYciEN1U/edit?usp=sharing"",""ชุ"&amp;"มพร!M177"")+IMPORTRANGE(""https://docs.google.com/spreadsheets/d/16pAz3pOhQEZBhvFNMa5KGgZS6iKWpsKX0pg6tQmwFpo/edit?usp=sharing"",""ตรัง!M177"")+IMPORTRANGE(""https://docs.google.com/spreadsheets/d/1Dj4jcHCTV9JXKCaMoheSXS52JE63kDKyG7bPXnFogHk/edit?usp=shar"&amp;"ing"",""นครศรีธรรมราช!M177"")+IMPORTRANGE(""https://docs.google.com/spreadsheets/d/1iodCdmuK2GR3jzUwk8tpccY2JHQQA-87DLOtJP-ooyU/edit?usp=sharing"",""นราธิวาส!M177"")+IMPORTRANGE(""https://docs.google.com/spreadsheets/d/1SDNX3JhDdYRuIOsj0Wh2M-Qa_eaXl0NbWmh"&amp;"AOTbfQAs/edit?usp=sharing"",""ปัตตานี!M177"")+IMPORTRANGE(""https://docs.google.com/spreadsheets/d/16JDLGguT8s5DsGCND1KcwHP_AWR_zDMTqLHPLJUKhaU/edit?usp=sharing"",""พังงา!M177"")+IMPORTRANGE(""https://docs.google.com/spreadsheets/d/17ht0gPKzzT3PObBL1XJkeR"&amp;"mntBXI7wGjpLV7QorqlTk/edit?usp=sharing"",""พัทลุง!M177"")+IMPORTRANGE(""https://docs.google.com/spreadsheets/d/1rd4qoM1q_hsgaolqNGfrim9gbsoLxQsda4-vOz5x_BM/edit?usp=sharing"",""ภูเก็ต!M177"")+IMPORTRANGE(""https://docs.google.com/spreadsheets/d/1woKwKjgoL"&amp;"ssDvPcPeVyezB5izizAn4X1JDrys69n6xI/edit?usp=sharing"",""ยะลา!M177"")+IMPORTRANGE(""https://docs.google.com/spreadsheets/d/1qfrKjzMhm2HJfxQ-qVlJlJQ25Hne1d0khsySbZyGtPA/edit?usp=sharing"",""ระนอง!M177"")+IMPORTRANGE(""https://docs.google.com/spreadsheets/d/"&amp;"1IbSCnFOKpZsnFogBHJnL_isstZVaOMnFiIN0fGTPZZw/edit?usp=sharing"",""สงขลา!M177"")+IMPORTRANGE(""https://docs.google.com/spreadsheets/d/1q9nWasZJ-K8bFGvbE9n0qSRuKGA4Toe3Y89cKCiVtCU/edit?usp=sharing"",""สตูล!M177"")+IMPORTRANGE(""https://docs.google.com/sprea"&amp;"dsheets/d/18T20gbkS_WBjdscyTOV05cvq_JqvqQ17C81mpxf7Ncs/edit?usp=sharing"",""สุราษฎร์ธานี!M177"")"),0)</f>
        <v>0</v>
      </c>
      <c r="N177" s="59">
        <f ca="1">IFERROR(__xludf.DUMMYFUNCTION("IMPORTRANGE(""https://docs.google.com/spreadsheets/d/1kKUcYdkIfrgTSj8iHHHB2MD2FAtwyyocFgqGQn6ADyI/edit?usp=sharing"",""กระบี่!N177"")+IMPORTRANGE(""https://docs.google.com/spreadsheets/d/1GwtLaSlNZkLk7iDqcyZz22giiy40b_usZZBXYciEN1U/edit?usp=sharing"",""ชุ"&amp;"มพร!N177"")+IMPORTRANGE(""https://docs.google.com/spreadsheets/d/16pAz3pOhQEZBhvFNMa5KGgZS6iKWpsKX0pg6tQmwFpo/edit?usp=sharing"",""ตรัง!N177"")+IMPORTRANGE(""https://docs.google.com/spreadsheets/d/1Dj4jcHCTV9JXKCaMoheSXS52JE63kDKyG7bPXnFogHk/edit?usp=shar"&amp;"ing"",""นครศรีธรรมราช!N177"")+IMPORTRANGE(""https://docs.google.com/spreadsheets/d/1iodCdmuK2GR3jzUwk8tpccY2JHQQA-87DLOtJP-ooyU/edit?usp=sharing"",""นราธิวาส!N177"")+IMPORTRANGE(""https://docs.google.com/spreadsheets/d/1SDNX3JhDdYRuIOsj0Wh2M-Qa_eaXl0NbWmh"&amp;"AOTbfQAs/edit?usp=sharing"",""ปัตตานี!N177"")+IMPORTRANGE(""https://docs.google.com/spreadsheets/d/16JDLGguT8s5DsGCND1KcwHP_AWR_zDMTqLHPLJUKhaU/edit?usp=sharing"",""พังงา!N177"")+IMPORTRANGE(""https://docs.google.com/spreadsheets/d/17ht0gPKzzT3PObBL1XJkeR"&amp;"mntBXI7wGjpLV7QorqlTk/edit?usp=sharing"",""พัทลุง!N177"")+IMPORTRANGE(""https://docs.google.com/spreadsheets/d/1rd4qoM1q_hsgaolqNGfrim9gbsoLxQsda4-vOz5x_BM/edit?usp=sharing"",""ภูเก็ต!N177"")+IMPORTRANGE(""https://docs.google.com/spreadsheets/d/1woKwKjgoL"&amp;"ssDvPcPeVyezB5izizAn4X1JDrys69n6xI/edit?usp=sharing"",""ยะลา!N177"")+IMPORTRANGE(""https://docs.google.com/spreadsheets/d/1qfrKjzMhm2HJfxQ-qVlJlJQ25Hne1d0khsySbZyGtPA/edit?usp=sharing"",""ระนอง!N177"")+IMPORTRANGE(""https://docs.google.com/spreadsheets/d/"&amp;"1IbSCnFOKpZsnFogBHJnL_isstZVaOMnFiIN0fGTPZZw/edit?usp=sharing"",""สงขลา!N177"")+IMPORTRANGE(""https://docs.google.com/spreadsheets/d/1q9nWasZJ-K8bFGvbE9n0qSRuKGA4Toe3Y89cKCiVtCU/edit?usp=sharing"",""สตูล!N177"")+IMPORTRANGE(""https://docs.google.com/sprea"&amp;"dsheets/d/18T20gbkS_WBjdscyTOV05cvq_JqvqQ17C81mpxf7Ncs/edit?usp=sharing"",""สุราษฎร์ธานี!N177"")"),0)</f>
        <v>0</v>
      </c>
      <c r="O177" s="59">
        <f t="shared" ca="1" si="84"/>
        <v>0</v>
      </c>
      <c r="P177" s="59">
        <f t="shared" ca="1" si="85"/>
        <v>0</v>
      </c>
    </row>
    <row r="178" spans="1:16" ht="18.75" x14ac:dyDescent="0.25">
      <c r="A178" s="157"/>
      <c r="B178" s="53"/>
      <c r="C178" s="53"/>
      <c r="D178" s="53"/>
      <c r="E178" s="60" t="s">
        <v>35</v>
      </c>
      <c r="F178" s="53"/>
      <c r="G178" s="55"/>
      <c r="H178" s="163" t="s">
        <v>12</v>
      </c>
      <c r="I178" s="164"/>
      <c r="J178" s="164"/>
      <c r="K178" s="165"/>
      <c r="L178" s="59">
        <f ca="1">IFERROR(__xludf.DUMMYFUNCTION("IMPORTRANGE(""https://docs.google.com/spreadsheets/d/1kKUcYdkIfrgTSj8iHHHB2MD2FAtwyyocFgqGQn6ADyI/edit?usp=sharing"",""กระบี่!L178"")+IMPORTRANGE(""https://docs.google.com/spreadsheets/d/1GwtLaSlNZkLk7iDqcyZz22giiy40b_usZZBXYciEN1U/edit?usp=sharing"",""ชุ"&amp;"มพร!L178"")+IMPORTRANGE(""https://docs.google.com/spreadsheets/d/16pAz3pOhQEZBhvFNMa5KGgZS6iKWpsKX0pg6tQmwFpo/edit?usp=sharing"",""ตรัง!L178"")+IMPORTRANGE(""https://docs.google.com/spreadsheets/d/1Dj4jcHCTV9JXKCaMoheSXS52JE63kDKyG7bPXnFogHk/edit?usp=shar"&amp;"ing"",""นครศรีธรรมราช!L178"")+IMPORTRANGE(""https://docs.google.com/spreadsheets/d/1iodCdmuK2GR3jzUwk8tpccY2JHQQA-87DLOtJP-ooyU/edit?usp=sharing"",""นราธิวาส!L178"")+IMPORTRANGE(""https://docs.google.com/spreadsheets/d/1SDNX3JhDdYRuIOsj0Wh2M-Qa_eaXl0NbWmh"&amp;"AOTbfQAs/edit?usp=sharing"",""ปัตตานี!L178"")+IMPORTRANGE(""https://docs.google.com/spreadsheets/d/16JDLGguT8s5DsGCND1KcwHP_AWR_zDMTqLHPLJUKhaU/edit?usp=sharing"",""พังงา!L178"")+IMPORTRANGE(""https://docs.google.com/spreadsheets/d/17ht0gPKzzT3PObBL1XJkeR"&amp;"mntBXI7wGjpLV7QorqlTk/edit?usp=sharing"",""พัทลุง!L178"")+IMPORTRANGE(""https://docs.google.com/spreadsheets/d/1rd4qoM1q_hsgaolqNGfrim9gbsoLxQsda4-vOz5x_BM/edit?usp=sharing"",""ภูเก็ต!L178"")+IMPORTRANGE(""https://docs.google.com/spreadsheets/d/1woKwKjgoL"&amp;"ssDvPcPeVyezB5izizAn4X1JDrys69n6xI/edit?usp=sharing"",""ยะลา!L178"")+IMPORTRANGE(""https://docs.google.com/spreadsheets/d/1qfrKjzMhm2HJfxQ-qVlJlJQ25Hne1d0khsySbZyGtPA/edit?usp=sharing"",""ระนอง!L178"")+IMPORTRANGE(""https://docs.google.com/spreadsheets/d/"&amp;"1IbSCnFOKpZsnFogBHJnL_isstZVaOMnFiIN0fGTPZZw/edit?usp=sharing"",""สงขลา!L178"")+IMPORTRANGE(""https://docs.google.com/spreadsheets/d/1q9nWasZJ-K8bFGvbE9n0qSRuKGA4Toe3Y89cKCiVtCU/edit?usp=sharing"",""สตูล!L178"")+IMPORTRANGE(""https://docs.google.com/sprea"&amp;"dsheets/d/18T20gbkS_WBjdscyTOV05cvq_JqvqQ17C81mpxf7Ncs/edit?usp=sharing"",""สุราษฎร์ธานี!L178"")"),215490)</f>
        <v>215490</v>
      </c>
      <c r="M178" s="59">
        <f ca="1">IFERROR(__xludf.DUMMYFUNCTION("IMPORTRANGE(""https://docs.google.com/spreadsheets/d/1kKUcYdkIfrgTSj8iHHHB2MD2FAtwyyocFgqGQn6ADyI/edit?usp=sharing"",""กระบี่!M178"")+IMPORTRANGE(""https://docs.google.com/spreadsheets/d/1GwtLaSlNZkLk7iDqcyZz22giiy40b_usZZBXYciEN1U/edit?usp=sharing"",""ชุ"&amp;"มพร!M178"")+IMPORTRANGE(""https://docs.google.com/spreadsheets/d/16pAz3pOhQEZBhvFNMa5KGgZS6iKWpsKX0pg6tQmwFpo/edit?usp=sharing"",""ตรัง!M178"")+IMPORTRANGE(""https://docs.google.com/spreadsheets/d/1Dj4jcHCTV9JXKCaMoheSXS52JE63kDKyG7bPXnFogHk/edit?usp=shar"&amp;"ing"",""นครศรีธรรมราช!M178"")+IMPORTRANGE(""https://docs.google.com/spreadsheets/d/1iodCdmuK2GR3jzUwk8tpccY2JHQQA-87DLOtJP-ooyU/edit?usp=sharing"",""นราธิวาส!M178"")+IMPORTRANGE(""https://docs.google.com/spreadsheets/d/1SDNX3JhDdYRuIOsj0Wh2M-Qa_eaXl0NbWmh"&amp;"AOTbfQAs/edit?usp=sharing"",""ปัตตานี!M178"")+IMPORTRANGE(""https://docs.google.com/spreadsheets/d/16JDLGguT8s5DsGCND1KcwHP_AWR_zDMTqLHPLJUKhaU/edit?usp=sharing"",""พังงา!M178"")+IMPORTRANGE(""https://docs.google.com/spreadsheets/d/17ht0gPKzzT3PObBL1XJkeR"&amp;"mntBXI7wGjpLV7QorqlTk/edit?usp=sharing"",""พัทลุง!M178"")+IMPORTRANGE(""https://docs.google.com/spreadsheets/d/1rd4qoM1q_hsgaolqNGfrim9gbsoLxQsda4-vOz5x_BM/edit?usp=sharing"",""ภูเก็ต!M178"")+IMPORTRANGE(""https://docs.google.com/spreadsheets/d/1woKwKjgoL"&amp;"ssDvPcPeVyezB5izizAn4X1JDrys69n6xI/edit?usp=sharing"",""ยะลา!M178"")+IMPORTRANGE(""https://docs.google.com/spreadsheets/d/1qfrKjzMhm2HJfxQ-qVlJlJQ25Hne1d0khsySbZyGtPA/edit?usp=sharing"",""ระนอง!M178"")+IMPORTRANGE(""https://docs.google.com/spreadsheets/d/"&amp;"1IbSCnFOKpZsnFogBHJnL_isstZVaOMnFiIN0fGTPZZw/edit?usp=sharing"",""สงขลา!M178"")+IMPORTRANGE(""https://docs.google.com/spreadsheets/d/1q9nWasZJ-K8bFGvbE9n0qSRuKGA4Toe3Y89cKCiVtCU/edit?usp=sharing"",""สตูล!M178"")+IMPORTRANGE(""https://docs.google.com/sprea"&amp;"dsheets/d/18T20gbkS_WBjdscyTOV05cvq_JqvqQ17C81mpxf7Ncs/edit?usp=sharing"",""สุราษฎร์ธานี!M178"")"),215490)</f>
        <v>215490</v>
      </c>
      <c r="N178" s="59">
        <f ca="1">IFERROR(__xludf.DUMMYFUNCTION("IMPORTRANGE(""https://docs.google.com/spreadsheets/d/1kKUcYdkIfrgTSj8iHHHB2MD2FAtwyyocFgqGQn6ADyI/edit?usp=sharing"",""กระบี่!N178"")+IMPORTRANGE(""https://docs.google.com/spreadsheets/d/1GwtLaSlNZkLk7iDqcyZz22giiy40b_usZZBXYciEN1U/edit?usp=sharing"",""ชุ"&amp;"มพร!N178"")+IMPORTRANGE(""https://docs.google.com/spreadsheets/d/16pAz3pOhQEZBhvFNMa5KGgZS6iKWpsKX0pg6tQmwFpo/edit?usp=sharing"",""ตรัง!N178"")+IMPORTRANGE(""https://docs.google.com/spreadsheets/d/1Dj4jcHCTV9JXKCaMoheSXS52JE63kDKyG7bPXnFogHk/edit?usp=shar"&amp;"ing"",""นครศรีธรรมราช!N178"")+IMPORTRANGE(""https://docs.google.com/spreadsheets/d/1iodCdmuK2GR3jzUwk8tpccY2JHQQA-87DLOtJP-ooyU/edit?usp=sharing"",""นราธิวาส!N178"")+IMPORTRANGE(""https://docs.google.com/spreadsheets/d/1SDNX3JhDdYRuIOsj0Wh2M-Qa_eaXl0NbWmh"&amp;"AOTbfQAs/edit?usp=sharing"",""ปัตตานี!N178"")+IMPORTRANGE(""https://docs.google.com/spreadsheets/d/16JDLGguT8s5DsGCND1KcwHP_AWR_zDMTqLHPLJUKhaU/edit?usp=sharing"",""พังงา!N178"")+IMPORTRANGE(""https://docs.google.com/spreadsheets/d/17ht0gPKzzT3PObBL1XJkeR"&amp;"mntBXI7wGjpLV7QorqlTk/edit?usp=sharing"",""พัทลุง!N178"")+IMPORTRANGE(""https://docs.google.com/spreadsheets/d/1rd4qoM1q_hsgaolqNGfrim9gbsoLxQsda4-vOz5x_BM/edit?usp=sharing"",""ภูเก็ต!N178"")+IMPORTRANGE(""https://docs.google.com/spreadsheets/d/1woKwKjgoL"&amp;"ssDvPcPeVyezB5izizAn4X1JDrys69n6xI/edit?usp=sharing"",""ยะลา!N178"")+IMPORTRANGE(""https://docs.google.com/spreadsheets/d/1qfrKjzMhm2HJfxQ-qVlJlJQ25Hne1d0khsySbZyGtPA/edit?usp=sharing"",""ระนอง!N178"")+IMPORTRANGE(""https://docs.google.com/spreadsheets/d/"&amp;"1IbSCnFOKpZsnFogBHJnL_isstZVaOMnFiIN0fGTPZZw/edit?usp=sharing"",""สงขลา!N178"")+IMPORTRANGE(""https://docs.google.com/spreadsheets/d/1q9nWasZJ-K8bFGvbE9n0qSRuKGA4Toe3Y89cKCiVtCU/edit?usp=sharing"",""สตูล!N178"")+IMPORTRANGE(""https://docs.google.com/sprea"&amp;"dsheets/d/18T20gbkS_WBjdscyTOV05cvq_JqvqQ17C81mpxf7Ncs/edit?usp=sharing"",""สุราษฎร์ธานี!N178"")"),113076)</f>
        <v>113076</v>
      </c>
      <c r="O178" s="59">
        <f t="shared" ca="1" si="84"/>
        <v>52.473896700542952</v>
      </c>
      <c r="P178" s="59">
        <f t="shared" ca="1" si="85"/>
        <v>52.473896700542952</v>
      </c>
    </row>
    <row r="179" spans="1:16" ht="18.75" x14ac:dyDescent="0.25">
      <c r="A179" s="157"/>
      <c r="B179" s="53"/>
      <c r="C179" s="53"/>
      <c r="D179" s="54" t="s">
        <v>21</v>
      </c>
      <c r="E179" s="53"/>
      <c r="F179" s="53"/>
      <c r="G179" s="55"/>
      <c r="H179" s="166" t="s">
        <v>12</v>
      </c>
      <c r="I179" s="164"/>
      <c r="J179" s="164"/>
      <c r="K179" s="165"/>
      <c r="L179" s="59">
        <f t="shared" ref="L179:N179" ca="1" si="89">L180+L181</f>
        <v>0</v>
      </c>
      <c r="M179" s="59">
        <f t="shared" ca="1" si="89"/>
        <v>0</v>
      </c>
      <c r="N179" s="59">
        <f t="shared" ca="1" si="89"/>
        <v>0</v>
      </c>
      <c r="O179" s="59">
        <f t="shared" ca="1" si="84"/>
        <v>0</v>
      </c>
      <c r="P179" s="59">
        <f t="shared" ca="1" si="85"/>
        <v>0</v>
      </c>
    </row>
    <row r="180" spans="1:16" ht="18.75" x14ac:dyDescent="0.25">
      <c r="A180" s="157"/>
      <c r="B180" s="53"/>
      <c r="C180" s="53"/>
      <c r="D180" s="53"/>
      <c r="E180" s="60" t="s">
        <v>18</v>
      </c>
      <c r="F180" s="53"/>
      <c r="G180" s="55"/>
      <c r="H180" s="163" t="s">
        <v>12</v>
      </c>
      <c r="I180" s="164"/>
      <c r="J180" s="164"/>
      <c r="K180" s="165"/>
      <c r="L180" s="59">
        <f ca="1">IFERROR(__xludf.DUMMYFUNCTION("IMPORTRANGE(""https://docs.google.com/spreadsheets/d/1kKUcYdkIfrgTSj8iHHHB2MD2FAtwyyocFgqGQn6ADyI/edit?usp=sharing"",""กระบี่!L180"")+IMPORTRANGE(""https://docs.google.com/spreadsheets/d/1GwtLaSlNZkLk7iDqcyZz22giiy40b_usZZBXYciEN1U/edit?usp=sharing"",""ชุ"&amp;"มพร!L180"")+IMPORTRANGE(""https://docs.google.com/spreadsheets/d/16pAz3pOhQEZBhvFNMa5KGgZS6iKWpsKX0pg6tQmwFpo/edit?usp=sharing"",""ตรัง!L180"")+IMPORTRANGE(""https://docs.google.com/spreadsheets/d/1Dj4jcHCTV9JXKCaMoheSXS52JE63kDKyG7bPXnFogHk/edit?usp=shar"&amp;"ing"",""นครศรีธรรมราช!L180"")+IMPORTRANGE(""https://docs.google.com/spreadsheets/d/1iodCdmuK2GR3jzUwk8tpccY2JHQQA-87DLOtJP-ooyU/edit?usp=sharing"",""นราธิวาส!L180"")+IMPORTRANGE(""https://docs.google.com/spreadsheets/d/1SDNX3JhDdYRuIOsj0Wh2M-Qa_eaXl0NbWmh"&amp;"AOTbfQAs/edit?usp=sharing"",""ปัตตานี!L180"")+IMPORTRANGE(""https://docs.google.com/spreadsheets/d/16JDLGguT8s5DsGCND1KcwHP_AWR_zDMTqLHPLJUKhaU/edit?usp=sharing"",""พังงา!L180"")+IMPORTRANGE(""https://docs.google.com/spreadsheets/d/17ht0gPKzzT3PObBL1XJkeR"&amp;"mntBXI7wGjpLV7QorqlTk/edit?usp=sharing"",""พัทลุง!L180"")+IMPORTRANGE(""https://docs.google.com/spreadsheets/d/1rd4qoM1q_hsgaolqNGfrim9gbsoLxQsda4-vOz5x_BM/edit?usp=sharing"",""ภูเก็ต!L180"")+IMPORTRANGE(""https://docs.google.com/spreadsheets/d/1woKwKjgoL"&amp;"ssDvPcPeVyezB5izizAn4X1JDrys69n6xI/edit?usp=sharing"",""ยะลา!L180"")+IMPORTRANGE(""https://docs.google.com/spreadsheets/d/1qfrKjzMhm2HJfxQ-qVlJlJQ25Hne1d0khsySbZyGtPA/edit?usp=sharing"",""ระนอง!L180"")+IMPORTRANGE(""https://docs.google.com/spreadsheets/d/"&amp;"1IbSCnFOKpZsnFogBHJnL_isstZVaOMnFiIN0fGTPZZw/edit?usp=sharing"",""สงขลา!L180"")+IMPORTRANGE(""https://docs.google.com/spreadsheets/d/1q9nWasZJ-K8bFGvbE9n0qSRuKGA4Toe3Y89cKCiVtCU/edit?usp=sharing"",""สตูล!L180"")+IMPORTRANGE(""https://docs.google.com/sprea"&amp;"dsheets/d/18T20gbkS_WBjdscyTOV05cvq_JqvqQ17C81mpxf7Ncs/edit?usp=sharing"",""สุราษฎร์ธานี!L180"")"),0)</f>
        <v>0</v>
      </c>
      <c r="M180" s="59">
        <f ca="1">IFERROR(__xludf.DUMMYFUNCTION("IMPORTRANGE(""https://docs.google.com/spreadsheets/d/1kKUcYdkIfrgTSj8iHHHB2MD2FAtwyyocFgqGQn6ADyI/edit?usp=sharing"",""กระบี่!M180"")+IMPORTRANGE(""https://docs.google.com/spreadsheets/d/1GwtLaSlNZkLk7iDqcyZz22giiy40b_usZZBXYciEN1U/edit?usp=sharing"",""ชุ"&amp;"มพร!M180"")+IMPORTRANGE(""https://docs.google.com/spreadsheets/d/16pAz3pOhQEZBhvFNMa5KGgZS6iKWpsKX0pg6tQmwFpo/edit?usp=sharing"",""ตรัง!M180"")+IMPORTRANGE(""https://docs.google.com/spreadsheets/d/1Dj4jcHCTV9JXKCaMoheSXS52JE63kDKyG7bPXnFogHk/edit?usp=shar"&amp;"ing"",""นครศรีธรรมราช!M180"")+IMPORTRANGE(""https://docs.google.com/spreadsheets/d/1iodCdmuK2GR3jzUwk8tpccY2JHQQA-87DLOtJP-ooyU/edit?usp=sharing"",""นราธิวาส!M180"")+IMPORTRANGE(""https://docs.google.com/spreadsheets/d/1SDNX3JhDdYRuIOsj0Wh2M-Qa_eaXl0NbWmh"&amp;"AOTbfQAs/edit?usp=sharing"",""ปัตตานี!M180"")+IMPORTRANGE(""https://docs.google.com/spreadsheets/d/16JDLGguT8s5DsGCND1KcwHP_AWR_zDMTqLHPLJUKhaU/edit?usp=sharing"",""พังงา!M180"")+IMPORTRANGE(""https://docs.google.com/spreadsheets/d/17ht0gPKzzT3PObBL1XJkeR"&amp;"mntBXI7wGjpLV7QorqlTk/edit?usp=sharing"",""พัทลุง!M180"")+IMPORTRANGE(""https://docs.google.com/spreadsheets/d/1rd4qoM1q_hsgaolqNGfrim9gbsoLxQsda4-vOz5x_BM/edit?usp=sharing"",""ภูเก็ต!M180"")+IMPORTRANGE(""https://docs.google.com/spreadsheets/d/1woKwKjgoL"&amp;"ssDvPcPeVyezB5izizAn4X1JDrys69n6xI/edit?usp=sharing"",""ยะลา!M180"")+IMPORTRANGE(""https://docs.google.com/spreadsheets/d/1qfrKjzMhm2HJfxQ-qVlJlJQ25Hne1d0khsySbZyGtPA/edit?usp=sharing"",""ระนอง!M180"")+IMPORTRANGE(""https://docs.google.com/spreadsheets/d/"&amp;"1IbSCnFOKpZsnFogBHJnL_isstZVaOMnFiIN0fGTPZZw/edit?usp=sharing"",""สงขลา!M180"")+IMPORTRANGE(""https://docs.google.com/spreadsheets/d/1q9nWasZJ-K8bFGvbE9n0qSRuKGA4Toe3Y89cKCiVtCU/edit?usp=sharing"",""สตูล!M180"")+IMPORTRANGE(""https://docs.google.com/sprea"&amp;"dsheets/d/18T20gbkS_WBjdscyTOV05cvq_JqvqQ17C81mpxf7Ncs/edit?usp=sharing"",""สุราษฎร์ธานี!M180"")"),0)</f>
        <v>0</v>
      </c>
      <c r="N180" s="59">
        <f ca="1">IFERROR(__xludf.DUMMYFUNCTION("IMPORTRANGE(""https://docs.google.com/spreadsheets/d/1kKUcYdkIfrgTSj8iHHHB2MD2FAtwyyocFgqGQn6ADyI/edit?usp=sharing"",""กระบี่!N180"")+IMPORTRANGE(""https://docs.google.com/spreadsheets/d/1GwtLaSlNZkLk7iDqcyZz22giiy40b_usZZBXYciEN1U/edit?usp=sharing"",""ชุ"&amp;"มพร!N180"")+IMPORTRANGE(""https://docs.google.com/spreadsheets/d/16pAz3pOhQEZBhvFNMa5KGgZS6iKWpsKX0pg6tQmwFpo/edit?usp=sharing"",""ตรัง!N180"")+IMPORTRANGE(""https://docs.google.com/spreadsheets/d/1Dj4jcHCTV9JXKCaMoheSXS52JE63kDKyG7bPXnFogHk/edit?usp=shar"&amp;"ing"",""นครศรีธรรมราช!N180"")+IMPORTRANGE(""https://docs.google.com/spreadsheets/d/1iodCdmuK2GR3jzUwk8tpccY2JHQQA-87DLOtJP-ooyU/edit?usp=sharing"",""นราธิวาส!N180"")+IMPORTRANGE(""https://docs.google.com/spreadsheets/d/1SDNX3JhDdYRuIOsj0Wh2M-Qa_eaXl0NbWmh"&amp;"AOTbfQAs/edit?usp=sharing"",""ปัตตานี!N180"")+IMPORTRANGE(""https://docs.google.com/spreadsheets/d/16JDLGguT8s5DsGCND1KcwHP_AWR_zDMTqLHPLJUKhaU/edit?usp=sharing"",""พังงา!N180"")+IMPORTRANGE(""https://docs.google.com/spreadsheets/d/17ht0gPKzzT3PObBL1XJkeR"&amp;"mntBXI7wGjpLV7QorqlTk/edit?usp=sharing"",""พัทลุง!N180"")+IMPORTRANGE(""https://docs.google.com/spreadsheets/d/1rd4qoM1q_hsgaolqNGfrim9gbsoLxQsda4-vOz5x_BM/edit?usp=sharing"",""ภูเก็ต!N180"")+IMPORTRANGE(""https://docs.google.com/spreadsheets/d/1woKwKjgoL"&amp;"ssDvPcPeVyezB5izizAn4X1JDrys69n6xI/edit?usp=sharing"",""ยะลา!N180"")+IMPORTRANGE(""https://docs.google.com/spreadsheets/d/1qfrKjzMhm2HJfxQ-qVlJlJQ25Hne1d0khsySbZyGtPA/edit?usp=sharing"",""ระนอง!N180"")+IMPORTRANGE(""https://docs.google.com/spreadsheets/d/"&amp;"1IbSCnFOKpZsnFogBHJnL_isstZVaOMnFiIN0fGTPZZw/edit?usp=sharing"",""สงขลา!N180"")+IMPORTRANGE(""https://docs.google.com/spreadsheets/d/1q9nWasZJ-K8bFGvbE9n0qSRuKGA4Toe3Y89cKCiVtCU/edit?usp=sharing"",""สตูล!N180"")+IMPORTRANGE(""https://docs.google.com/sprea"&amp;"dsheets/d/18T20gbkS_WBjdscyTOV05cvq_JqvqQ17C81mpxf7Ncs/edit?usp=sharing"",""สุราษฎร์ธานี!N180"")"),0)</f>
        <v>0</v>
      </c>
      <c r="O180" s="59">
        <f t="shared" ca="1" si="84"/>
        <v>0</v>
      </c>
      <c r="P180" s="59">
        <f t="shared" ca="1" si="85"/>
        <v>0</v>
      </c>
    </row>
    <row r="181" spans="1:16" ht="18.75" x14ac:dyDescent="0.25">
      <c r="A181" s="157"/>
      <c r="B181" s="53"/>
      <c r="C181" s="53"/>
      <c r="D181" s="53"/>
      <c r="E181" s="60" t="s">
        <v>19</v>
      </c>
      <c r="F181" s="53"/>
      <c r="G181" s="55"/>
      <c r="H181" s="166" t="s">
        <v>12</v>
      </c>
      <c r="I181" s="164"/>
      <c r="J181" s="164"/>
      <c r="K181" s="165"/>
      <c r="L181" s="59">
        <f ca="1">IFERROR(__xludf.DUMMYFUNCTION("IMPORTRANGE(""https://docs.google.com/spreadsheets/d/1kKUcYdkIfrgTSj8iHHHB2MD2FAtwyyocFgqGQn6ADyI/edit?usp=sharing"",""กระบี่!L181"")+IMPORTRANGE(""https://docs.google.com/spreadsheets/d/1GwtLaSlNZkLk7iDqcyZz22giiy40b_usZZBXYciEN1U/edit?usp=sharing"",""ชุ"&amp;"มพร!L181"")+IMPORTRANGE(""https://docs.google.com/spreadsheets/d/16pAz3pOhQEZBhvFNMa5KGgZS6iKWpsKX0pg6tQmwFpo/edit?usp=sharing"",""ตรัง!L181"")+IMPORTRANGE(""https://docs.google.com/spreadsheets/d/1Dj4jcHCTV9JXKCaMoheSXS52JE63kDKyG7bPXnFogHk/edit?usp=shar"&amp;"ing"",""นครศรีธรรมราช!L181"")+IMPORTRANGE(""https://docs.google.com/spreadsheets/d/1iodCdmuK2GR3jzUwk8tpccY2JHQQA-87DLOtJP-ooyU/edit?usp=sharing"",""นราธิวาส!L181"")+IMPORTRANGE(""https://docs.google.com/spreadsheets/d/1SDNX3JhDdYRuIOsj0Wh2M-Qa_eaXl0NbWmh"&amp;"AOTbfQAs/edit?usp=sharing"",""ปัตตานี!L181"")+IMPORTRANGE(""https://docs.google.com/spreadsheets/d/16JDLGguT8s5DsGCND1KcwHP_AWR_zDMTqLHPLJUKhaU/edit?usp=sharing"",""พังงา!L181"")+IMPORTRANGE(""https://docs.google.com/spreadsheets/d/17ht0gPKzzT3PObBL1XJkeR"&amp;"mntBXI7wGjpLV7QorqlTk/edit?usp=sharing"",""พัทลุง!L181"")+IMPORTRANGE(""https://docs.google.com/spreadsheets/d/1rd4qoM1q_hsgaolqNGfrim9gbsoLxQsda4-vOz5x_BM/edit?usp=sharing"",""ภูเก็ต!L181"")+IMPORTRANGE(""https://docs.google.com/spreadsheets/d/1woKwKjgoL"&amp;"ssDvPcPeVyezB5izizAn4X1JDrys69n6xI/edit?usp=sharing"",""ยะลา!L181"")+IMPORTRANGE(""https://docs.google.com/spreadsheets/d/1qfrKjzMhm2HJfxQ-qVlJlJQ25Hne1d0khsySbZyGtPA/edit?usp=sharing"",""ระนอง!L181"")+IMPORTRANGE(""https://docs.google.com/spreadsheets/d/"&amp;"1IbSCnFOKpZsnFogBHJnL_isstZVaOMnFiIN0fGTPZZw/edit?usp=sharing"",""สงขลา!L181"")+IMPORTRANGE(""https://docs.google.com/spreadsheets/d/1q9nWasZJ-K8bFGvbE9n0qSRuKGA4Toe3Y89cKCiVtCU/edit?usp=sharing"",""สตูล!L181"")+IMPORTRANGE(""https://docs.google.com/sprea"&amp;"dsheets/d/18T20gbkS_WBjdscyTOV05cvq_JqvqQ17C81mpxf7Ncs/edit?usp=sharing"",""สุราษฎร์ธานี!L181"")"),0)</f>
        <v>0</v>
      </c>
      <c r="M181" s="59">
        <f ca="1">IFERROR(__xludf.DUMMYFUNCTION("IMPORTRANGE(""https://docs.google.com/spreadsheets/d/1kKUcYdkIfrgTSj8iHHHB2MD2FAtwyyocFgqGQn6ADyI/edit?usp=sharing"",""กระบี่!M181"")+IMPORTRANGE(""https://docs.google.com/spreadsheets/d/1GwtLaSlNZkLk7iDqcyZz22giiy40b_usZZBXYciEN1U/edit?usp=sharing"",""ชุ"&amp;"มพร!M181"")+IMPORTRANGE(""https://docs.google.com/spreadsheets/d/16pAz3pOhQEZBhvFNMa5KGgZS6iKWpsKX0pg6tQmwFpo/edit?usp=sharing"",""ตรัง!M181"")+IMPORTRANGE(""https://docs.google.com/spreadsheets/d/1Dj4jcHCTV9JXKCaMoheSXS52JE63kDKyG7bPXnFogHk/edit?usp=shar"&amp;"ing"",""นครศรีธรรมราช!M181"")+IMPORTRANGE(""https://docs.google.com/spreadsheets/d/1iodCdmuK2GR3jzUwk8tpccY2JHQQA-87DLOtJP-ooyU/edit?usp=sharing"",""นราธิวาส!M181"")+IMPORTRANGE(""https://docs.google.com/spreadsheets/d/1SDNX3JhDdYRuIOsj0Wh2M-Qa_eaXl0NbWmh"&amp;"AOTbfQAs/edit?usp=sharing"",""ปัตตานี!M181"")+IMPORTRANGE(""https://docs.google.com/spreadsheets/d/16JDLGguT8s5DsGCND1KcwHP_AWR_zDMTqLHPLJUKhaU/edit?usp=sharing"",""พังงา!M181"")+IMPORTRANGE(""https://docs.google.com/spreadsheets/d/17ht0gPKzzT3PObBL1XJkeR"&amp;"mntBXI7wGjpLV7QorqlTk/edit?usp=sharing"",""พัทลุง!M181"")+IMPORTRANGE(""https://docs.google.com/spreadsheets/d/1rd4qoM1q_hsgaolqNGfrim9gbsoLxQsda4-vOz5x_BM/edit?usp=sharing"",""ภูเก็ต!M181"")+IMPORTRANGE(""https://docs.google.com/spreadsheets/d/1woKwKjgoL"&amp;"ssDvPcPeVyezB5izizAn4X1JDrys69n6xI/edit?usp=sharing"",""ยะลา!M181"")+IMPORTRANGE(""https://docs.google.com/spreadsheets/d/1qfrKjzMhm2HJfxQ-qVlJlJQ25Hne1d0khsySbZyGtPA/edit?usp=sharing"",""ระนอง!M181"")+IMPORTRANGE(""https://docs.google.com/spreadsheets/d/"&amp;"1IbSCnFOKpZsnFogBHJnL_isstZVaOMnFiIN0fGTPZZw/edit?usp=sharing"",""สงขลา!M181"")+IMPORTRANGE(""https://docs.google.com/spreadsheets/d/1q9nWasZJ-K8bFGvbE9n0qSRuKGA4Toe3Y89cKCiVtCU/edit?usp=sharing"",""สตูล!M181"")+IMPORTRANGE(""https://docs.google.com/sprea"&amp;"dsheets/d/18T20gbkS_WBjdscyTOV05cvq_JqvqQ17C81mpxf7Ncs/edit?usp=sharing"",""สุราษฎร์ธานี!M181"")"),0)</f>
        <v>0</v>
      </c>
      <c r="N181" s="59">
        <f ca="1">IFERROR(__xludf.DUMMYFUNCTION("IMPORTRANGE(""https://docs.google.com/spreadsheets/d/1kKUcYdkIfrgTSj8iHHHB2MD2FAtwyyocFgqGQn6ADyI/edit?usp=sharing"",""กระบี่!N181"")+IMPORTRANGE(""https://docs.google.com/spreadsheets/d/1GwtLaSlNZkLk7iDqcyZz22giiy40b_usZZBXYciEN1U/edit?usp=sharing"",""ชุ"&amp;"มพร!N181"")+IMPORTRANGE(""https://docs.google.com/spreadsheets/d/16pAz3pOhQEZBhvFNMa5KGgZS6iKWpsKX0pg6tQmwFpo/edit?usp=sharing"",""ตรัง!N181"")+IMPORTRANGE(""https://docs.google.com/spreadsheets/d/1Dj4jcHCTV9JXKCaMoheSXS52JE63kDKyG7bPXnFogHk/edit?usp=shar"&amp;"ing"",""นครศรีธรรมราช!N181"")+IMPORTRANGE(""https://docs.google.com/spreadsheets/d/1iodCdmuK2GR3jzUwk8tpccY2JHQQA-87DLOtJP-ooyU/edit?usp=sharing"",""นราธิวาส!N181"")+IMPORTRANGE(""https://docs.google.com/spreadsheets/d/1SDNX3JhDdYRuIOsj0Wh2M-Qa_eaXl0NbWmh"&amp;"AOTbfQAs/edit?usp=sharing"",""ปัตตานี!N181"")+IMPORTRANGE(""https://docs.google.com/spreadsheets/d/16JDLGguT8s5DsGCND1KcwHP_AWR_zDMTqLHPLJUKhaU/edit?usp=sharing"",""พังงา!N181"")+IMPORTRANGE(""https://docs.google.com/spreadsheets/d/17ht0gPKzzT3PObBL1XJkeR"&amp;"mntBXI7wGjpLV7QorqlTk/edit?usp=sharing"",""พัทลุง!N181"")+IMPORTRANGE(""https://docs.google.com/spreadsheets/d/1rd4qoM1q_hsgaolqNGfrim9gbsoLxQsda4-vOz5x_BM/edit?usp=sharing"",""ภูเก็ต!N181"")+IMPORTRANGE(""https://docs.google.com/spreadsheets/d/1woKwKjgoL"&amp;"ssDvPcPeVyezB5izizAn4X1JDrys69n6xI/edit?usp=sharing"",""ยะลา!N181"")+IMPORTRANGE(""https://docs.google.com/spreadsheets/d/1qfrKjzMhm2HJfxQ-qVlJlJQ25Hne1d0khsySbZyGtPA/edit?usp=sharing"",""ระนอง!N181"")+IMPORTRANGE(""https://docs.google.com/spreadsheets/d/"&amp;"1IbSCnFOKpZsnFogBHJnL_isstZVaOMnFiIN0fGTPZZw/edit?usp=sharing"",""สงขลา!N181"")+IMPORTRANGE(""https://docs.google.com/spreadsheets/d/1q9nWasZJ-K8bFGvbE9n0qSRuKGA4Toe3Y89cKCiVtCU/edit?usp=sharing"",""สตูล!N181"")+IMPORTRANGE(""https://docs.google.com/sprea"&amp;"dsheets/d/18T20gbkS_WBjdscyTOV05cvq_JqvqQ17C81mpxf7Ncs/edit?usp=sharing"",""สุราษฎร์ธานี!N181"")"),0)</f>
        <v>0</v>
      </c>
      <c r="O181" s="59">
        <f t="shared" ca="1" si="84"/>
        <v>0</v>
      </c>
      <c r="P181" s="59">
        <f t="shared" ca="1" si="85"/>
        <v>0</v>
      </c>
    </row>
    <row r="182" spans="1:16" ht="19.5" x14ac:dyDescent="0.3">
      <c r="A182" s="167"/>
      <c r="B182" s="168"/>
      <c r="C182" s="158" t="s">
        <v>16</v>
      </c>
      <c r="D182" s="169" t="s">
        <v>36</v>
      </c>
      <c r="E182" s="170"/>
      <c r="F182" s="170"/>
      <c r="G182" s="171"/>
      <c r="H182" s="225"/>
      <c r="I182" s="57"/>
      <c r="J182" s="57"/>
      <c r="K182" s="58"/>
      <c r="L182" s="58"/>
      <c r="M182" s="58"/>
      <c r="N182" s="58"/>
      <c r="O182" s="58"/>
      <c r="P182" s="58"/>
    </row>
    <row r="183" spans="1:16" ht="18.75" x14ac:dyDescent="0.25">
      <c r="A183" s="274"/>
      <c r="B183" s="53"/>
      <c r="C183" s="275"/>
      <c r="D183" s="276" t="s">
        <v>69</v>
      </c>
      <c r="E183" s="53"/>
      <c r="F183" s="53"/>
      <c r="G183" s="55"/>
      <c r="H183" s="277" t="s">
        <v>33</v>
      </c>
      <c r="I183" s="181">
        <f ca="1">IFERROR(__xludf.DUMMYFUNCTION("IMPORTRANGE(""https://docs.google.com/spreadsheets/d/1kKUcYdkIfrgTSj8iHHHB2MD2FAtwyyocFgqGQn6ADyI/edit?usp=sharing"",""กระบี่!I183"")+IMPORTRANGE(""https://docs.google.com/spreadsheets/d/1GwtLaSlNZkLk7iDqcyZz22giiy40b_usZZBXYciEN1U/edit?usp=sharing"",""ชุ"&amp;"มพร!I183"")+IMPORTRANGE(""https://docs.google.com/spreadsheets/d/16pAz3pOhQEZBhvFNMa5KGgZS6iKWpsKX0pg6tQmwFpo/edit?usp=sharing"",""ตรัง!I183"")+IMPORTRANGE(""https://docs.google.com/spreadsheets/d/1Dj4jcHCTV9JXKCaMoheSXS52JE63kDKyG7bPXnFogHk/edit?usp=shar"&amp;"ing"",""นครศรีธรรมราช!I183"")+IMPORTRANGE(""https://docs.google.com/spreadsheets/d/1iodCdmuK2GR3jzUwk8tpccY2JHQQA-87DLOtJP-ooyU/edit?usp=sharing"",""นราธิวาส!I183"")+IMPORTRANGE(""https://docs.google.com/spreadsheets/d/1SDNX3JhDdYRuIOsj0Wh2M-Qa_eaXl0NbWmh"&amp;"AOTbfQAs/edit?usp=sharing"",""ปัตตานี!I183"")+IMPORTRANGE(""https://docs.google.com/spreadsheets/d/16JDLGguT8s5DsGCND1KcwHP_AWR_zDMTqLHPLJUKhaU/edit?usp=sharing"",""พังงา!I183"")+IMPORTRANGE(""https://docs.google.com/spreadsheets/d/17ht0gPKzzT3PObBL1XJkeR"&amp;"mntBXI7wGjpLV7QorqlTk/edit?usp=sharing"",""พัทลุง!I183"")+IMPORTRANGE(""https://docs.google.com/spreadsheets/d/1rd4qoM1q_hsgaolqNGfrim9gbsoLxQsda4-vOz5x_BM/edit?usp=sharing"",""ภูเก็ต!I183"")+IMPORTRANGE(""https://docs.google.com/spreadsheets/d/1woKwKjgoL"&amp;"ssDvPcPeVyezB5izizAn4X1JDrys69n6xI/edit?usp=sharing"",""ยะลา!I183"")+IMPORTRANGE(""https://docs.google.com/spreadsheets/d/1qfrKjzMhm2HJfxQ-qVlJlJQ25Hne1d0khsySbZyGtPA/edit?usp=sharing"",""ระนอง!I183"")+IMPORTRANGE(""https://docs.google.com/spreadsheets/d/"&amp;"1IbSCnFOKpZsnFogBHJnL_isstZVaOMnFiIN0fGTPZZw/edit?usp=sharing"",""สงขลา!I183"")+IMPORTRANGE(""https://docs.google.com/spreadsheets/d/1q9nWasZJ-K8bFGvbE9n0qSRuKGA4Toe3Y89cKCiVtCU/edit?usp=sharing"",""สตูล!I183"")+IMPORTRANGE(""https://docs.google.com/sprea"&amp;"dsheets/d/18T20gbkS_WBjdscyTOV05cvq_JqvqQ17C81mpxf7Ncs/edit?usp=sharing"",""สุราษฎร์ธานี!I183"")"),77)</f>
        <v>77</v>
      </c>
      <c r="J183" s="181">
        <f ca="1">IFERROR(__xludf.DUMMYFUNCTION("IMPORTRANGE(""https://docs.google.com/spreadsheets/d/1kKUcYdkIfrgTSj8iHHHB2MD2FAtwyyocFgqGQn6ADyI/edit?usp=sharing"",""กระบี่!J183"")+IMPORTRANGE(""https://docs.google.com/spreadsheets/d/1GwtLaSlNZkLk7iDqcyZz22giiy40b_usZZBXYciEN1U/edit?usp=sharing"",""ชุ"&amp;"มพร!J183"")+IMPORTRANGE(""https://docs.google.com/spreadsheets/d/16pAz3pOhQEZBhvFNMa5KGgZS6iKWpsKX0pg6tQmwFpo/edit?usp=sharing"",""ตรัง!J183"")+IMPORTRANGE(""https://docs.google.com/spreadsheets/d/1Dj4jcHCTV9JXKCaMoheSXS52JE63kDKyG7bPXnFogHk/edit?usp=shar"&amp;"ing"",""นครศรีธรรมราช!J183"")+IMPORTRANGE(""https://docs.google.com/spreadsheets/d/1iodCdmuK2GR3jzUwk8tpccY2JHQQA-87DLOtJP-ooyU/edit?usp=sharing"",""นราธิวาส!J183"")+IMPORTRANGE(""https://docs.google.com/spreadsheets/d/1SDNX3JhDdYRuIOsj0Wh2M-Qa_eaXl0NbWmh"&amp;"AOTbfQAs/edit?usp=sharing"",""ปัตตานี!J183"")+IMPORTRANGE(""https://docs.google.com/spreadsheets/d/16JDLGguT8s5DsGCND1KcwHP_AWR_zDMTqLHPLJUKhaU/edit?usp=sharing"",""พังงา!J183"")+IMPORTRANGE(""https://docs.google.com/spreadsheets/d/17ht0gPKzzT3PObBL1XJkeR"&amp;"mntBXI7wGjpLV7QorqlTk/edit?usp=sharing"",""พัทลุง!J183"")+IMPORTRANGE(""https://docs.google.com/spreadsheets/d/1rd4qoM1q_hsgaolqNGfrim9gbsoLxQsda4-vOz5x_BM/edit?usp=sharing"",""ภูเก็ต!J183"")+IMPORTRANGE(""https://docs.google.com/spreadsheets/d/1woKwKjgoL"&amp;"ssDvPcPeVyezB5izizAn4X1JDrys69n6xI/edit?usp=sharing"",""ยะลา!J183"")+IMPORTRANGE(""https://docs.google.com/spreadsheets/d/1qfrKjzMhm2HJfxQ-qVlJlJQ25Hne1d0khsySbZyGtPA/edit?usp=sharing"",""ระนอง!J183"")+IMPORTRANGE(""https://docs.google.com/spreadsheets/d/"&amp;"1IbSCnFOKpZsnFogBHJnL_isstZVaOMnFiIN0fGTPZZw/edit?usp=sharing"",""สงขลา!J183"")+IMPORTRANGE(""https://docs.google.com/spreadsheets/d/1q9nWasZJ-K8bFGvbE9n0qSRuKGA4Toe3Y89cKCiVtCU/edit?usp=sharing"",""สตูล!J183"")+IMPORTRANGE(""https://docs.google.com/sprea"&amp;"dsheets/d/18T20gbkS_WBjdscyTOV05cvq_JqvqQ17C81mpxf7Ncs/edit?usp=sharing"",""สุราษฎร์ธานี!J183"")"),14)</f>
        <v>14</v>
      </c>
      <c r="K183" s="59">
        <f t="shared" ref="K183:K185" ca="1" si="90">IF(I183&gt;0,J183*100/I183,0)</f>
        <v>18.181818181818183</v>
      </c>
      <c r="L183" s="58"/>
      <c r="M183" s="58"/>
      <c r="N183" s="58"/>
      <c r="O183" s="58"/>
      <c r="P183" s="58"/>
    </row>
    <row r="184" spans="1:16" ht="18.75" x14ac:dyDescent="0.25">
      <c r="A184" s="274"/>
      <c r="B184" s="278"/>
      <c r="C184" s="275"/>
      <c r="D184" s="276" t="s">
        <v>70</v>
      </c>
      <c r="E184" s="53"/>
      <c r="F184" s="53"/>
      <c r="G184" s="55"/>
      <c r="H184" s="277" t="s">
        <v>33</v>
      </c>
      <c r="I184" s="181">
        <v>0</v>
      </c>
      <c r="J184" s="181">
        <v>0</v>
      </c>
      <c r="K184" s="59">
        <f t="shared" si="90"/>
        <v>0</v>
      </c>
      <c r="L184" s="58"/>
      <c r="M184" s="58"/>
      <c r="N184" s="58"/>
      <c r="O184" s="58"/>
      <c r="P184" s="58"/>
    </row>
    <row r="185" spans="1:16" ht="19.5" x14ac:dyDescent="0.3">
      <c r="A185" s="267"/>
      <c r="B185" s="268" t="s">
        <v>71</v>
      </c>
      <c r="C185" s="269"/>
      <c r="D185" s="170"/>
      <c r="E185" s="170"/>
      <c r="F185" s="170"/>
      <c r="G185" s="171"/>
      <c r="H185" s="270" t="s">
        <v>33</v>
      </c>
      <c r="I185" s="271">
        <f t="shared" ref="I185:J185" ca="1" si="91">I230+I231</f>
        <v>0</v>
      </c>
      <c r="J185" s="271">
        <f t="shared" ca="1" si="91"/>
        <v>0</v>
      </c>
      <c r="K185" s="272">
        <f t="shared" ca="1" si="90"/>
        <v>0</v>
      </c>
      <c r="L185" s="273"/>
      <c r="M185" s="273"/>
      <c r="N185" s="273"/>
      <c r="O185" s="273"/>
      <c r="P185" s="273"/>
    </row>
    <row r="186" spans="1:16" ht="19.5" x14ac:dyDescent="0.3">
      <c r="A186" s="157"/>
      <c r="B186" s="53"/>
      <c r="C186" s="158" t="s">
        <v>16</v>
      </c>
      <c r="D186" s="159" t="s">
        <v>17</v>
      </c>
      <c r="E186" s="53"/>
      <c r="F186" s="53"/>
      <c r="G186" s="55"/>
      <c r="H186" s="160" t="s">
        <v>12</v>
      </c>
      <c r="I186" s="57"/>
      <c r="J186" s="57"/>
      <c r="K186" s="58"/>
      <c r="L186" s="161">
        <f t="shared" ref="L186:N186" ca="1" si="92">L187+L188</f>
        <v>2056000</v>
      </c>
      <c r="M186" s="161">
        <f t="shared" ca="1" si="92"/>
        <v>1435100</v>
      </c>
      <c r="N186" s="161">
        <f t="shared" ca="1" si="92"/>
        <v>357612.25</v>
      </c>
      <c r="O186" s="161">
        <f t="shared" ref="O186:O194" ca="1" si="93">IF(L186&gt;0,N186*100/L186,0)</f>
        <v>17.393591926070037</v>
      </c>
      <c r="P186" s="161">
        <f t="shared" ref="P186:P194" ca="1" si="94">IF(M186&gt;0,N186*100/M186,0)</f>
        <v>24.918977771583862</v>
      </c>
    </row>
    <row r="187" spans="1:16" ht="18.75" x14ac:dyDescent="0.25">
      <c r="A187" s="157"/>
      <c r="B187" s="53"/>
      <c r="C187" s="53"/>
      <c r="D187" s="53"/>
      <c r="E187" s="60" t="s">
        <v>18</v>
      </c>
      <c r="F187" s="53"/>
      <c r="G187" s="55"/>
      <c r="H187" s="162" t="s">
        <v>12</v>
      </c>
      <c r="I187" s="57"/>
      <c r="J187" s="57"/>
      <c r="K187" s="58"/>
      <c r="L187" s="59">
        <f t="shared" ref="L187:N187" ca="1" si="95">L190+L193</f>
        <v>0</v>
      </c>
      <c r="M187" s="59">
        <f t="shared" ca="1" si="95"/>
        <v>0</v>
      </c>
      <c r="N187" s="59">
        <f t="shared" ca="1" si="95"/>
        <v>0</v>
      </c>
      <c r="O187" s="59">
        <f t="shared" ca="1" si="93"/>
        <v>0</v>
      </c>
      <c r="P187" s="59">
        <f t="shared" ca="1" si="94"/>
        <v>0</v>
      </c>
    </row>
    <row r="188" spans="1:16" ht="18.75" x14ac:dyDescent="0.25">
      <c r="A188" s="157"/>
      <c r="B188" s="53"/>
      <c r="C188" s="53"/>
      <c r="D188" s="53"/>
      <c r="E188" s="60" t="s">
        <v>19</v>
      </c>
      <c r="F188" s="53"/>
      <c r="G188" s="55"/>
      <c r="H188" s="162" t="s">
        <v>12</v>
      </c>
      <c r="I188" s="57"/>
      <c r="J188" s="57"/>
      <c r="K188" s="58"/>
      <c r="L188" s="59">
        <f t="shared" ref="L188:N188" ca="1" si="96">L191+L194</f>
        <v>2056000</v>
      </c>
      <c r="M188" s="59">
        <f t="shared" ca="1" si="96"/>
        <v>1435100</v>
      </c>
      <c r="N188" s="59">
        <f t="shared" ca="1" si="96"/>
        <v>357612.25</v>
      </c>
      <c r="O188" s="59">
        <f t="shared" ca="1" si="93"/>
        <v>17.393591926070037</v>
      </c>
      <c r="P188" s="59">
        <f t="shared" ca="1" si="94"/>
        <v>24.918977771583862</v>
      </c>
    </row>
    <row r="189" spans="1:16" ht="18.75" x14ac:dyDescent="0.25">
      <c r="A189" s="157"/>
      <c r="B189" s="53"/>
      <c r="C189" s="53"/>
      <c r="D189" s="54" t="s">
        <v>20</v>
      </c>
      <c r="E189" s="53"/>
      <c r="F189" s="53"/>
      <c r="G189" s="55"/>
      <c r="H189" s="163" t="s">
        <v>12</v>
      </c>
      <c r="I189" s="164"/>
      <c r="J189" s="164"/>
      <c r="K189" s="165"/>
      <c r="L189" s="59">
        <f t="shared" ref="L189:N189" ca="1" si="97">L190+L191</f>
        <v>2056000</v>
      </c>
      <c r="M189" s="59">
        <f t="shared" ca="1" si="97"/>
        <v>1435100</v>
      </c>
      <c r="N189" s="59">
        <f t="shared" ca="1" si="97"/>
        <v>357612.25</v>
      </c>
      <c r="O189" s="59">
        <f t="shared" ca="1" si="93"/>
        <v>17.393591926070037</v>
      </c>
      <c r="P189" s="59">
        <f t="shared" ca="1" si="94"/>
        <v>24.918977771583862</v>
      </c>
    </row>
    <row r="190" spans="1:16" ht="18.75" x14ac:dyDescent="0.25">
      <c r="A190" s="157"/>
      <c r="B190" s="53"/>
      <c r="C190" s="53"/>
      <c r="D190" s="53"/>
      <c r="E190" s="60" t="s">
        <v>34</v>
      </c>
      <c r="F190" s="53"/>
      <c r="G190" s="55"/>
      <c r="H190" s="163" t="s">
        <v>12</v>
      </c>
      <c r="I190" s="164"/>
      <c r="J190" s="164"/>
      <c r="K190" s="165"/>
      <c r="L190" s="59">
        <f ca="1">IFERROR(__xludf.DUMMYFUNCTION("IMPORTRANGE(""https://docs.google.com/spreadsheets/d/1kKUcYdkIfrgTSj8iHHHB2MD2FAtwyyocFgqGQn6ADyI/edit?usp=sharing"",""กระบี่!L190"")+IMPORTRANGE(""https://docs.google.com/spreadsheets/d/1GwtLaSlNZkLk7iDqcyZz22giiy40b_usZZBXYciEN1U/edit?usp=sharing"",""ชุ"&amp;"มพร!L190"")+IMPORTRANGE(""https://docs.google.com/spreadsheets/d/16pAz3pOhQEZBhvFNMa5KGgZS6iKWpsKX0pg6tQmwFpo/edit?usp=sharing"",""ตรัง!L190"")+IMPORTRANGE(""https://docs.google.com/spreadsheets/d/1Dj4jcHCTV9JXKCaMoheSXS52JE63kDKyG7bPXnFogHk/edit?usp=shar"&amp;"ing"",""นครศรีธรรมราช!L190"")+IMPORTRANGE(""https://docs.google.com/spreadsheets/d/1iodCdmuK2GR3jzUwk8tpccY2JHQQA-87DLOtJP-ooyU/edit?usp=sharing"",""นราธิวาส!L190"")+IMPORTRANGE(""https://docs.google.com/spreadsheets/d/1SDNX3JhDdYRuIOsj0Wh2M-Qa_eaXl0NbWmh"&amp;"AOTbfQAs/edit?usp=sharing"",""ปัตตานี!L190"")+IMPORTRANGE(""https://docs.google.com/spreadsheets/d/16JDLGguT8s5DsGCND1KcwHP_AWR_zDMTqLHPLJUKhaU/edit?usp=sharing"",""พังงา!L190"")+IMPORTRANGE(""https://docs.google.com/spreadsheets/d/17ht0gPKzzT3PObBL1XJkeR"&amp;"mntBXI7wGjpLV7QorqlTk/edit?usp=sharing"",""พัทลุง!L190"")+IMPORTRANGE(""https://docs.google.com/spreadsheets/d/1rd4qoM1q_hsgaolqNGfrim9gbsoLxQsda4-vOz5x_BM/edit?usp=sharing"",""ภูเก็ต!L190"")+IMPORTRANGE(""https://docs.google.com/spreadsheets/d/1woKwKjgoL"&amp;"ssDvPcPeVyezB5izizAn4X1JDrys69n6xI/edit?usp=sharing"",""ยะลา!L190"")+IMPORTRANGE(""https://docs.google.com/spreadsheets/d/1qfrKjzMhm2HJfxQ-qVlJlJQ25Hne1d0khsySbZyGtPA/edit?usp=sharing"",""ระนอง!L190"")+IMPORTRANGE(""https://docs.google.com/spreadsheets/d/"&amp;"1IbSCnFOKpZsnFogBHJnL_isstZVaOMnFiIN0fGTPZZw/edit?usp=sharing"",""สงขลา!L190"")+IMPORTRANGE(""https://docs.google.com/spreadsheets/d/1q9nWasZJ-K8bFGvbE9n0qSRuKGA4Toe3Y89cKCiVtCU/edit?usp=sharing"",""สตูล!L190"")+IMPORTRANGE(""https://docs.google.com/sprea"&amp;"dsheets/d/18T20gbkS_WBjdscyTOV05cvq_JqvqQ17C81mpxf7Ncs/edit?usp=sharing"",""สุราษฎร์ธานี!L190"")"),0)</f>
        <v>0</v>
      </c>
      <c r="M190" s="59">
        <f ca="1">IFERROR(__xludf.DUMMYFUNCTION("IMPORTRANGE(""https://docs.google.com/spreadsheets/d/1kKUcYdkIfrgTSj8iHHHB2MD2FAtwyyocFgqGQn6ADyI/edit?usp=sharing"",""กระบี่!M190"")+IMPORTRANGE(""https://docs.google.com/spreadsheets/d/1GwtLaSlNZkLk7iDqcyZz22giiy40b_usZZBXYciEN1U/edit?usp=sharing"",""ชุ"&amp;"มพร!M190"")+IMPORTRANGE(""https://docs.google.com/spreadsheets/d/16pAz3pOhQEZBhvFNMa5KGgZS6iKWpsKX0pg6tQmwFpo/edit?usp=sharing"",""ตรัง!M190"")+IMPORTRANGE(""https://docs.google.com/spreadsheets/d/1Dj4jcHCTV9JXKCaMoheSXS52JE63kDKyG7bPXnFogHk/edit?usp=shar"&amp;"ing"",""นครศรีธรรมราช!M190"")+IMPORTRANGE(""https://docs.google.com/spreadsheets/d/1iodCdmuK2GR3jzUwk8tpccY2JHQQA-87DLOtJP-ooyU/edit?usp=sharing"",""นราธิวาส!M190"")+IMPORTRANGE(""https://docs.google.com/spreadsheets/d/1SDNX3JhDdYRuIOsj0Wh2M-Qa_eaXl0NbWmh"&amp;"AOTbfQAs/edit?usp=sharing"",""ปัตตานี!M190"")+IMPORTRANGE(""https://docs.google.com/spreadsheets/d/16JDLGguT8s5DsGCND1KcwHP_AWR_zDMTqLHPLJUKhaU/edit?usp=sharing"",""พังงา!M190"")+IMPORTRANGE(""https://docs.google.com/spreadsheets/d/17ht0gPKzzT3PObBL1XJkeR"&amp;"mntBXI7wGjpLV7QorqlTk/edit?usp=sharing"",""พัทลุง!M190"")+IMPORTRANGE(""https://docs.google.com/spreadsheets/d/1rd4qoM1q_hsgaolqNGfrim9gbsoLxQsda4-vOz5x_BM/edit?usp=sharing"",""ภูเก็ต!M190"")+IMPORTRANGE(""https://docs.google.com/spreadsheets/d/1woKwKjgoL"&amp;"ssDvPcPeVyezB5izizAn4X1JDrys69n6xI/edit?usp=sharing"",""ยะลา!M190"")+IMPORTRANGE(""https://docs.google.com/spreadsheets/d/1qfrKjzMhm2HJfxQ-qVlJlJQ25Hne1d0khsySbZyGtPA/edit?usp=sharing"",""ระนอง!M190"")+IMPORTRANGE(""https://docs.google.com/spreadsheets/d/"&amp;"1IbSCnFOKpZsnFogBHJnL_isstZVaOMnFiIN0fGTPZZw/edit?usp=sharing"",""สงขลา!M190"")+IMPORTRANGE(""https://docs.google.com/spreadsheets/d/1q9nWasZJ-K8bFGvbE9n0qSRuKGA4Toe3Y89cKCiVtCU/edit?usp=sharing"",""สตูล!M190"")+IMPORTRANGE(""https://docs.google.com/sprea"&amp;"dsheets/d/18T20gbkS_WBjdscyTOV05cvq_JqvqQ17C81mpxf7Ncs/edit?usp=sharing"",""สุราษฎร์ธานี!M190"")"),0)</f>
        <v>0</v>
      </c>
      <c r="N190" s="59">
        <f ca="1">IFERROR(__xludf.DUMMYFUNCTION("IMPORTRANGE(""https://docs.google.com/spreadsheets/d/1kKUcYdkIfrgTSj8iHHHB2MD2FAtwyyocFgqGQn6ADyI/edit?usp=sharing"",""กระบี่!N190"")+IMPORTRANGE(""https://docs.google.com/spreadsheets/d/1GwtLaSlNZkLk7iDqcyZz22giiy40b_usZZBXYciEN1U/edit?usp=sharing"",""ชุ"&amp;"มพร!N190"")+IMPORTRANGE(""https://docs.google.com/spreadsheets/d/16pAz3pOhQEZBhvFNMa5KGgZS6iKWpsKX0pg6tQmwFpo/edit?usp=sharing"",""ตรัง!N190"")+IMPORTRANGE(""https://docs.google.com/spreadsheets/d/1Dj4jcHCTV9JXKCaMoheSXS52JE63kDKyG7bPXnFogHk/edit?usp=shar"&amp;"ing"",""นครศรีธรรมราช!N190"")+IMPORTRANGE(""https://docs.google.com/spreadsheets/d/1iodCdmuK2GR3jzUwk8tpccY2JHQQA-87DLOtJP-ooyU/edit?usp=sharing"",""นราธิวาส!N190"")+IMPORTRANGE(""https://docs.google.com/spreadsheets/d/1SDNX3JhDdYRuIOsj0Wh2M-Qa_eaXl0NbWmh"&amp;"AOTbfQAs/edit?usp=sharing"",""ปัตตานี!N190"")+IMPORTRANGE(""https://docs.google.com/spreadsheets/d/16JDLGguT8s5DsGCND1KcwHP_AWR_zDMTqLHPLJUKhaU/edit?usp=sharing"",""พังงา!N190"")+IMPORTRANGE(""https://docs.google.com/spreadsheets/d/17ht0gPKzzT3PObBL1XJkeR"&amp;"mntBXI7wGjpLV7QorqlTk/edit?usp=sharing"",""พัทลุง!N190"")+IMPORTRANGE(""https://docs.google.com/spreadsheets/d/1rd4qoM1q_hsgaolqNGfrim9gbsoLxQsda4-vOz5x_BM/edit?usp=sharing"",""ภูเก็ต!N190"")+IMPORTRANGE(""https://docs.google.com/spreadsheets/d/1woKwKjgoL"&amp;"ssDvPcPeVyezB5izizAn4X1JDrys69n6xI/edit?usp=sharing"",""ยะลา!N190"")+IMPORTRANGE(""https://docs.google.com/spreadsheets/d/1qfrKjzMhm2HJfxQ-qVlJlJQ25Hne1d0khsySbZyGtPA/edit?usp=sharing"",""ระนอง!N190"")+IMPORTRANGE(""https://docs.google.com/spreadsheets/d/"&amp;"1IbSCnFOKpZsnFogBHJnL_isstZVaOMnFiIN0fGTPZZw/edit?usp=sharing"",""สงขลา!N190"")+IMPORTRANGE(""https://docs.google.com/spreadsheets/d/1q9nWasZJ-K8bFGvbE9n0qSRuKGA4Toe3Y89cKCiVtCU/edit?usp=sharing"",""สตูล!N190"")+IMPORTRANGE(""https://docs.google.com/sprea"&amp;"dsheets/d/18T20gbkS_WBjdscyTOV05cvq_JqvqQ17C81mpxf7Ncs/edit?usp=sharing"",""สุราษฎร์ธานี!N190"")"),0)</f>
        <v>0</v>
      </c>
      <c r="O190" s="59">
        <f t="shared" ca="1" si="93"/>
        <v>0</v>
      </c>
      <c r="P190" s="59">
        <f t="shared" ca="1" si="94"/>
        <v>0</v>
      </c>
    </row>
    <row r="191" spans="1:16" ht="18.75" x14ac:dyDescent="0.25">
      <c r="A191" s="157"/>
      <c r="B191" s="53"/>
      <c r="C191" s="53"/>
      <c r="D191" s="53"/>
      <c r="E191" s="60" t="s">
        <v>35</v>
      </c>
      <c r="F191" s="53"/>
      <c r="G191" s="55"/>
      <c r="H191" s="163" t="s">
        <v>12</v>
      </c>
      <c r="I191" s="164"/>
      <c r="J191" s="164"/>
      <c r="K191" s="165"/>
      <c r="L191" s="59">
        <f ca="1">IFERROR(__xludf.DUMMYFUNCTION("IMPORTRANGE(""https://docs.google.com/spreadsheets/d/1kKUcYdkIfrgTSj8iHHHB2MD2FAtwyyocFgqGQn6ADyI/edit?usp=sharing"",""กระบี่!L191"")+IMPORTRANGE(""https://docs.google.com/spreadsheets/d/1GwtLaSlNZkLk7iDqcyZz22giiy40b_usZZBXYciEN1U/edit?usp=sharing"",""ชุ"&amp;"มพร!L191"")+IMPORTRANGE(""https://docs.google.com/spreadsheets/d/16pAz3pOhQEZBhvFNMa5KGgZS6iKWpsKX0pg6tQmwFpo/edit?usp=sharing"",""ตรัง!L191"")+IMPORTRANGE(""https://docs.google.com/spreadsheets/d/1Dj4jcHCTV9JXKCaMoheSXS52JE63kDKyG7bPXnFogHk/edit?usp=shar"&amp;"ing"",""นครศรีธรรมราช!L191"")+IMPORTRANGE(""https://docs.google.com/spreadsheets/d/1iodCdmuK2GR3jzUwk8tpccY2JHQQA-87DLOtJP-ooyU/edit?usp=sharing"",""นราธิวาส!L191"")+IMPORTRANGE(""https://docs.google.com/spreadsheets/d/1SDNX3JhDdYRuIOsj0Wh2M-Qa_eaXl0NbWmh"&amp;"AOTbfQAs/edit?usp=sharing"",""ปัตตานี!L191"")+IMPORTRANGE(""https://docs.google.com/spreadsheets/d/16JDLGguT8s5DsGCND1KcwHP_AWR_zDMTqLHPLJUKhaU/edit?usp=sharing"",""พังงา!L191"")+IMPORTRANGE(""https://docs.google.com/spreadsheets/d/17ht0gPKzzT3PObBL1XJkeR"&amp;"mntBXI7wGjpLV7QorqlTk/edit?usp=sharing"",""พัทลุง!L191"")+IMPORTRANGE(""https://docs.google.com/spreadsheets/d/1rd4qoM1q_hsgaolqNGfrim9gbsoLxQsda4-vOz5x_BM/edit?usp=sharing"",""ภูเก็ต!L191"")+IMPORTRANGE(""https://docs.google.com/spreadsheets/d/1woKwKjgoL"&amp;"ssDvPcPeVyezB5izizAn4X1JDrys69n6xI/edit?usp=sharing"",""ยะลา!L191"")+IMPORTRANGE(""https://docs.google.com/spreadsheets/d/1qfrKjzMhm2HJfxQ-qVlJlJQ25Hne1d0khsySbZyGtPA/edit?usp=sharing"",""ระนอง!L191"")+IMPORTRANGE(""https://docs.google.com/spreadsheets/d/"&amp;"1IbSCnFOKpZsnFogBHJnL_isstZVaOMnFiIN0fGTPZZw/edit?usp=sharing"",""สงขลา!L191"")+IMPORTRANGE(""https://docs.google.com/spreadsheets/d/1q9nWasZJ-K8bFGvbE9n0qSRuKGA4Toe3Y89cKCiVtCU/edit?usp=sharing"",""สตูล!L191"")+IMPORTRANGE(""https://docs.google.com/sprea"&amp;"dsheets/d/18T20gbkS_WBjdscyTOV05cvq_JqvqQ17C81mpxf7Ncs/edit?usp=sharing"",""สุราษฎร์ธานี!L191"")"),2056000)</f>
        <v>2056000</v>
      </c>
      <c r="M191" s="59">
        <f ca="1">IFERROR(__xludf.DUMMYFUNCTION("IMPORTRANGE(""https://docs.google.com/spreadsheets/d/1kKUcYdkIfrgTSj8iHHHB2MD2FAtwyyocFgqGQn6ADyI/edit?usp=sharing"",""กระบี่!M191"")+IMPORTRANGE(""https://docs.google.com/spreadsheets/d/1GwtLaSlNZkLk7iDqcyZz22giiy40b_usZZBXYciEN1U/edit?usp=sharing"",""ชุ"&amp;"มพร!M191"")+IMPORTRANGE(""https://docs.google.com/spreadsheets/d/16pAz3pOhQEZBhvFNMa5KGgZS6iKWpsKX0pg6tQmwFpo/edit?usp=sharing"",""ตรัง!M191"")+IMPORTRANGE(""https://docs.google.com/spreadsheets/d/1Dj4jcHCTV9JXKCaMoheSXS52JE63kDKyG7bPXnFogHk/edit?usp=shar"&amp;"ing"",""นครศรีธรรมราช!M191"")+IMPORTRANGE(""https://docs.google.com/spreadsheets/d/1iodCdmuK2GR3jzUwk8tpccY2JHQQA-87DLOtJP-ooyU/edit?usp=sharing"",""นราธิวาส!M191"")+IMPORTRANGE(""https://docs.google.com/spreadsheets/d/1SDNX3JhDdYRuIOsj0Wh2M-Qa_eaXl0NbWmh"&amp;"AOTbfQAs/edit?usp=sharing"",""ปัตตานี!M191"")+IMPORTRANGE(""https://docs.google.com/spreadsheets/d/16JDLGguT8s5DsGCND1KcwHP_AWR_zDMTqLHPLJUKhaU/edit?usp=sharing"",""พังงา!M191"")+IMPORTRANGE(""https://docs.google.com/spreadsheets/d/17ht0gPKzzT3PObBL1XJkeR"&amp;"mntBXI7wGjpLV7QorqlTk/edit?usp=sharing"",""พัทลุง!M191"")+IMPORTRANGE(""https://docs.google.com/spreadsheets/d/1rd4qoM1q_hsgaolqNGfrim9gbsoLxQsda4-vOz5x_BM/edit?usp=sharing"",""ภูเก็ต!M191"")+IMPORTRANGE(""https://docs.google.com/spreadsheets/d/1woKwKjgoL"&amp;"ssDvPcPeVyezB5izizAn4X1JDrys69n6xI/edit?usp=sharing"",""ยะลา!M191"")+IMPORTRANGE(""https://docs.google.com/spreadsheets/d/1qfrKjzMhm2HJfxQ-qVlJlJQ25Hne1d0khsySbZyGtPA/edit?usp=sharing"",""ระนอง!M191"")+IMPORTRANGE(""https://docs.google.com/spreadsheets/d/"&amp;"1IbSCnFOKpZsnFogBHJnL_isstZVaOMnFiIN0fGTPZZw/edit?usp=sharing"",""สงขลา!M191"")+IMPORTRANGE(""https://docs.google.com/spreadsheets/d/1q9nWasZJ-K8bFGvbE9n0qSRuKGA4Toe3Y89cKCiVtCU/edit?usp=sharing"",""สตูล!M191"")+IMPORTRANGE(""https://docs.google.com/sprea"&amp;"dsheets/d/18T20gbkS_WBjdscyTOV05cvq_JqvqQ17C81mpxf7Ncs/edit?usp=sharing"",""สุราษฎร์ธานี!M191"")"),1435100)</f>
        <v>1435100</v>
      </c>
      <c r="N191" s="59">
        <f ca="1">IFERROR(__xludf.DUMMYFUNCTION("IMPORTRANGE(""https://docs.google.com/spreadsheets/d/1kKUcYdkIfrgTSj8iHHHB2MD2FAtwyyocFgqGQn6ADyI/edit?usp=sharing"",""กระบี่!N191"")+IMPORTRANGE(""https://docs.google.com/spreadsheets/d/1GwtLaSlNZkLk7iDqcyZz22giiy40b_usZZBXYciEN1U/edit?usp=sharing"",""ชุ"&amp;"มพร!N191"")+IMPORTRANGE(""https://docs.google.com/spreadsheets/d/16pAz3pOhQEZBhvFNMa5KGgZS6iKWpsKX0pg6tQmwFpo/edit?usp=sharing"",""ตรัง!N191"")+IMPORTRANGE(""https://docs.google.com/spreadsheets/d/1Dj4jcHCTV9JXKCaMoheSXS52JE63kDKyG7bPXnFogHk/edit?usp=shar"&amp;"ing"",""นครศรีธรรมราช!N191"")+IMPORTRANGE(""https://docs.google.com/spreadsheets/d/1iodCdmuK2GR3jzUwk8tpccY2JHQQA-87DLOtJP-ooyU/edit?usp=sharing"",""นราธิวาส!N191"")+IMPORTRANGE(""https://docs.google.com/spreadsheets/d/1SDNX3JhDdYRuIOsj0Wh2M-Qa_eaXl0NbWmh"&amp;"AOTbfQAs/edit?usp=sharing"",""ปัตตานี!N191"")+IMPORTRANGE(""https://docs.google.com/spreadsheets/d/16JDLGguT8s5DsGCND1KcwHP_AWR_zDMTqLHPLJUKhaU/edit?usp=sharing"",""พังงา!N191"")+IMPORTRANGE(""https://docs.google.com/spreadsheets/d/17ht0gPKzzT3PObBL1XJkeR"&amp;"mntBXI7wGjpLV7QorqlTk/edit?usp=sharing"",""พัทลุง!N191"")+IMPORTRANGE(""https://docs.google.com/spreadsheets/d/1rd4qoM1q_hsgaolqNGfrim9gbsoLxQsda4-vOz5x_BM/edit?usp=sharing"",""ภูเก็ต!N191"")+IMPORTRANGE(""https://docs.google.com/spreadsheets/d/1woKwKjgoL"&amp;"ssDvPcPeVyezB5izizAn4X1JDrys69n6xI/edit?usp=sharing"",""ยะลา!N191"")+IMPORTRANGE(""https://docs.google.com/spreadsheets/d/1qfrKjzMhm2HJfxQ-qVlJlJQ25Hne1d0khsySbZyGtPA/edit?usp=sharing"",""ระนอง!N191"")+IMPORTRANGE(""https://docs.google.com/spreadsheets/d/"&amp;"1IbSCnFOKpZsnFogBHJnL_isstZVaOMnFiIN0fGTPZZw/edit?usp=sharing"",""สงขลา!N191"")+IMPORTRANGE(""https://docs.google.com/spreadsheets/d/1q9nWasZJ-K8bFGvbE9n0qSRuKGA4Toe3Y89cKCiVtCU/edit?usp=sharing"",""สตูล!N191"")+IMPORTRANGE(""https://docs.google.com/sprea"&amp;"dsheets/d/18T20gbkS_WBjdscyTOV05cvq_JqvqQ17C81mpxf7Ncs/edit?usp=sharing"",""สุราษฎร์ธานี!N191"")"),357612.25)</f>
        <v>357612.25</v>
      </c>
      <c r="O191" s="59">
        <f t="shared" ca="1" si="93"/>
        <v>17.393591926070037</v>
      </c>
      <c r="P191" s="59">
        <f t="shared" ca="1" si="94"/>
        <v>24.918977771583862</v>
      </c>
    </row>
    <row r="192" spans="1:16" ht="18.75" x14ac:dyDescent="0.25">
      <c r="A192" s="157"/>
      <c r="B192" s="53"/>
      <c r="C192" s="53"/>
      <c r="D192" s="54" t="s">
        <v>21</v>
      </c>
      <c r="E192" s="53"/>
      <c r="F192" s="53"/>
      <c r="G192" s="55"/>
      <c r="H192" s="166" t="s">
        <v>12</v>
      </c>
      <c r="I192" s="164"/>
      <c r="J192" s="164"/>
      <c r="K192" s="165"/>
      <c r="L192" s="59">
        <f t="shared" ref="L192:N192" ca="1" si="98">L193+L194</f>
        <v>0</v>
      </c>
      <c r="M192" s="59">
        <f t="shared" ca="1" si="98"/>
        <v>0</v>
      </c>
      <c r="N192" s="59">
        <f t="shared" ca="1" si="98"/>
        <v>0</v>
      </c>
      <c r="O192" s="59">
        <f t="shared" ca="1" si="93"/>
        <v>0</v>
      </c>
      <c r="P192" s="59">
        <f t="shared" ca="1" si="94"/>
        <v>0</v>
      </c>
    </row>
    <row r="193" spans="1:16" ht="18.75" x14ac:dyDescent="0.25">
      <c r="A193" s="157"/>
      <c r="B193" s="53"/>
      <c r="C193" s="53"/>
      <c r="D193" s="53"/>
      <c r="E193" s="60" t="s">
        <v>18</v>
      </c>
      <c r="F193" s="53"/>
      <c r="G193" s="55"/>
      <c r="H193" s="163" t="s">
        <v>12</v>
      </c>
      <c r="I193" s="164"/>
      <c r="J193" s="164"/>
      <c r="K193" s="165"/>
      <c r="L193" s="59">
        <f ca="1">IFERROR(__xludf.DUMMYFUNCTION("IMPORTRANGE(""https://docs.google.com/spreadsheets/d/1kKUcYdkIfrgTSj8iHHHB2MD2FAtwyyocFgqGQn6ADyI/edit?usp=sharing"",""กระบี่!L193"")+IMPORTRANGE(""https://docs.google.com/spreadsheets/d/1GwtLaSlNZkLk7iDqcyZz22giiy40b_usZZBXYciEN1U/edit?usp=sharing"",""ชุ"&amp;"มพร!L193"")+IMPORTRANGE(""https://docs.google.com/spreadsheets/d/16pAz3pOhQEZBhvFNMa5KGgZS6iKWpsKX0pg6tQmwFpo/edit?usp=sharing"",""ตรัง!L193"")+IMPORTRANGE(""https://docs.google.com/spreadsheets/d/1Dj4jcHCTV9JXKCaMoheSXS52JE63kDKyG7bPXnFogHk/edit?usp=shar"&amp;"ing"",""นครศรีธรรมราช!L193"")+IMPORTRANGE(""https://docs.google.com/spreadsheets/d/1iodCdmuK2GR3jzUwk8tpccY2JHQQA-87DLOtJP-ooyU/edit?usp=sharing"",""นราธิวาส!L193"")+IMPORTRANGE(""https://docs.google.com/spreadsheets/d/1SDNX3JhDdYRuIOsj0Wh2M-Qa_eaXl0NbWmh"&amp;"AOTbfQAs/edit?usp=sharing"",""ปัตตานี!L193"")+IMPORTRANGE(""https://docs.google.com/spreadsheets/d/16JDLGguT8s5DsGCND1KcwHP_AWR_zDMTqLHPLJUKhaU/edit?usp=sharing"",""พังงา!L193"")+IMPORTRANGE(""https://docs.google.com/spreadsheets/d/17ht0gPKzzT3PObBL1XJkeR"&amp;"mntBXI7wGjpLV7QorqlTk/edit?usp=sharing"",""พัทลุง!L193"")+IMPORTRANGE(""https://docs.google.com/spreadsheets/d/1rd4qoM1q_hsgaolqNGfrim9gbsoLxQsda4-vOz5x_BM/edit?usp=sharing"",""ภูเก็ต!L193"")+IMPORTRANGE(""https://docs.google.com/spreadsheets/d/1woKwKjgoL"&amp;"ssDvPcPeVyezB5izizAn4X1JDrys69n6xI/edit?usp=sharing"",""ยะลา!L193"")+IMPORTRANGE(""https://docs.google.com/spreadsheets/d/1qfrKjzMhm2HJfxQ-qVlJlJQ25Hne1d0khsySbZyGtPA/edit?usp=sharing"",""ระนอง!L193"")+IMPORTRANGE(""https://docs.google.com/spreadsheets/d/"&amp;"1IbSCnFOKpZsnFogBHJnL_isstZVaOMnFiIN0fGTPZZw/edit?usp=sharing"",""สงขลา!L193"")+IMPORTRANGE(""https://docs.google.com/spreadsheets/d/1q9nWasZJ-K8bFGvbE9n0qSRuKGA4Toe3Y89cKCiVtCU/edit?usp=sharing"",""สตูล!L193"")+IMPORTRANGE(""https://docs.google.com/sprea"&amp;"dsheets/d/18T20gbkS_WBjdscyTOV05cvq_JqvqQ17C81mpxf7Ncs/edit?usp=sharing"",""สุราษฎร์ธานี!L193"")"),0)</f>
        <v>0</v>
      </c>
      <c r="M193" s="59">
        <f ca="1">IFERROR(__xludf.DUMMYFUNCTION("IMPORTRANGE(""https://docs.google.com/spreadsheets/d/1kKUcYdkIfrgTSj8iHHHB2MD2FAtwyyocFgqGQn6ADyI/edit?usp=sharing"",""กระบี่!M193"")+IMPORTRANGE(""https://docs.google.com/spreadsheets/d/1GwtLaSlNZkLk7iDqcyZz22giiy40b_usZZBXYciEN1U/edit?usp=sharing"",""ชุ"&amp;"มพร!M193"")+IMPORTRANGE(""https://docs.google.com/spreadsheets/d/16pAz3pOhQEZBhvFNMa5KGgZS6iKWpsKX0pg6tQmwFpo/edit?usp=sharing"",""ตรัง!M193"")+IMPORTRANGE(""https://docs.google.com/spreadsheets/d/1Dj4jcHCTV9JXKCaMoheSXS52JE63kDKyG7bPXnFogHk/edit?usp=shar"&amp;"ing"",""นครศรีธรรมราช!M193"")+IMPORTRANGE(""https://docs.google.com/spreadsheets/d/1iodCdmuK2GR3jzUwk8tpccY2JHQQA-87DLOtJP-ooyU/edit?usp=sharing"",""นราธิวาส!M193"")+IMPORTRANGE(""https://docs.google.com/spreadsheets/d/1SDNX3JhDdYRuIOsj0Wh2M-Qa_eaXl0NbWmh"&amp;"AOTbfQAs/edit?usp=sharing"",""ปัตตานี!M193"")+IMPORTRANGE(""https://docs.google.com/spreadsheets/d/16JDLGguT8s5DsGCND1KcwHP_AWR_zDMTqLHPLJUKhaU/edit?usp=sharing"",""พังงา!M193"")+IMPORTRANGE(""https://docs.google.com/spreadsheets/d/17ht0gPKzzT3PObBL1XJkeR"&amp;"mntBXI7wGjpLV7QorqlTk/edit?usp=sharing"",""พัทลุง!M193"")+IMPORTRANGE(""https://docs.google.com/spreadsheets/d/1rd4qoM1q_hsgaolqNGfrim9gbsoLxQsda4-vOz5x_BM/edit?usp=sharing"",""ภูเก็ต!M193"")+IMPORTRANGE(""https://docs.google.com/spreadsheets/d/1woKwKjgoL"&amp;"ssDvPcPeVyezB5izizAn4X1JDrys69n6xI/edit?usp=sharing"",""ยะลา!M193"")+IMPORTRANGE(""https://docs.google.com/spreadsheets/d/1qfrKjzMhm2HJfxQ-qVlJlJQ25Hne1d0khsySbZyGtPA/edit?usp=sharing"",""ระนอง!M193"")+IMPORTRANGE(""https://docs.google.com/spreadsheets/d/"&amp;"1IbSCnFOKpZsnFogBHJnL_isstZVaOMnFiIN0fGTPZZw/edit?usp=sharing"",""สงขลา!M193"")+IMPORTRANGE(""https://docs.google.com/spreadsheets/d/1q9nWasZJ-K8bFGvbE9n0qSRuKGA4Toe3Y89cKCiVtCU/edit?usp=sharing"",""สตูล!M193"")+IMPORTRANGE(""https://docs.google.com/sprea"&amp;"dsheets/d/18T20gbkS_WBjdscyTOV05cvq_JqvqQ17C81mpxf7Ncs/edit?usp=sharing"",""สุราษฎร์ธานี!M193"")"),0)</f>
        <v>0</v>
      </c>
      <c r="N193" s="59">
        <f ca="1">IFERROR(__xludf.DUMMYFUNCTION("IMPORTRANGE(""https://docs.google.com/spreadsheets/d/1kKUcYdkIfrgTSj8iHHHB2MD2FAtwyyocFgqGQn6ADyI/edit?usp=sharing"",""กระบี่!N193"")+IMPORTRANGE(""https://docs.google.com/spreadsheets/d/1GwtLaSlNZkLk7iDqcyZz22giiy40b_usZZBXYciEN1U/edit?usp=sharing"",""ชุ"&amp;"มพร!N193"")+IMPORTRANGE(""https://docs.google.com/spreadsheets/d/16pAz3pOhQEZBhvFNMa5KGgZS6iKWpsKX0pg6tQmwFpo/edit?usp=sharing"",""ตรัง!N193"")+IMPORTRANGE(""https://docs.google.com/spreadsheets/d/1Dj4jcHCTV9JXKCaMoheSXS52JE63kDKyG7bPXnFogHk/edit?usp=shar"&amp;"ing"",""นครศรีธรรมราช!N193"")+IMPORTRANGE(""https://docs.google.com/spreadsheets/d/1iodCdmuK2GR3jzUwk8tpccY2JHQQA-87DLOtJP-ooyU/edit?usp=sharing"",""นราธิวาส!N193"")+IMPORTRANGE(""https://docs.google.com/spreadsheets/d/1SDNX3JhDdYRuIOsj0Wh2M-Qa_eaXl0NbWmh"&amp;"AOTbfQAs/edit?usp=sharing"",""ปัตตานี!N193"")+IMPORTRANGE(""https://docs.google.com/spreadsheets/d/16JDLGguT8s5DsGCND1KcwHP_AWR_zDMTqLHPLJUKhaU/edit?usp=sharing"",""พังงา!N193"")+IMPORTRANGE(""https://docs.google.com/spreadsheets/d/17ht0gPKzzT3PObBL1XJkeR"&amp;"mntBXI7wGjpLV7QorqlTk/edit?usp=sharing"",""พัทลุง!N193"")+IMPORTRANGE(""https://docs.google.com/spreadsheets/d/1rd4qoM1q_hsgaolqNGfrim9gbsoLxQsda4-vOz5x_BM/edit?usp=sharing"",""ภูเก็ต!N193"")+IMPORTRANGE(""https://docs.google.com/spreadsheets/d/1woKwKjgoL"&amp;"ssDvPcPeVyezB5izizAn4X1JDrys69n6xI/edit?usp=sharing"",""ยะลา!N193"")+IMPORTRANGE(""https://docs.google.com/spreadsheets/d/1qfrKjzMhm2HJfxQ-qVlJlJQ25Hne1d0khsySbZyGtPA/edit?usp=sharing"",""ระนอง!N193"")+IMPORTRANGE(""https://docs.google.com/spreadsheets/d/"&amp;"1IbSCnFOKpZsnFogBHJnL_isstZVaOMnFiIN0fGTPZZw/edit?usp=sharing"",""สงขลา!N193"")+IMPORTRANGE(""https://docs.google.com/spreadsheets/d/1q9nWasZJ-K8bFGvbE9n0qSRuKGA4Toe3Y89cKCiVtCU/edit?usp=sharing"",""สตูล!N193"")+IMPORTRANGE(""https://docs.google.com/sprea"&amp;"dsheets/d/18T20gbkS_WBjdscyTOV05cvq_JqvqQ17C81mpxf7Ncs/edit?usp=sharing"",""สุราษฎร์ธานี!N193"")"),0)</f>
        <v>0</v>
      </c>
      <c r="O193" s="59">
        <f t="shared" ca="1" si="93"/>
        <v>0</v>
      </c>
      <c r="P193" s="59">
        <f t="shared" ca="1" si="94"/>
        <v>0</v>
      </c>
    </row>
    <row r="194" spans="1:16" ht="18.75" x14ac:dyDescent="0.25">
      <c r="A194" s="157"/>
      <c r="B194" s="53"/>
      <c r="C194" s="53"/>
      <c r="D194" s="53"/>
      <c r="E194" s="60" t="s">
        <v>19</v>
      </c>
      <c r="F194" s="53"/>
      <c r="G194" s="55"/>
      <c r="H194" s="166" t="s">
        <v>12</v>
      </c>
      <c r="I194" s="164"/>
      <c r="J194" s="164"/>
      <c r="K194" s="165"/>
      <c r="L194" s="59">
        <f ca="1">IFERROR(__xludf.DUMMYFUNCTION("IMPORTRANGE(""https://docs.google.com/spreadsheets/d/1kKUcYdkIfrgTSj8iHHHB2MD2FAtwyyocFgqGQn6ADyI/edit?usp=sharing"",""กระบี่!L194"")+IMPORTRANGE(""https://docs.google.com/spreadsheets/d/1GwtLaSlNZkLk7iDqcyZz22giiy40b_usZZBXYciEN1U/edit?usp=sharing"",""ชุ"&amp;"มพร!L194"")+IMPORTRANGE(""https://docs.google.com/spreadsheets/d/16pAz3pOhQEZBhvFNMa5KGgZS6iKWpsKX0pg6tQmwFpo/edit?usp=sharing"",""ตรัง!L194"")+IMPORTRANGE(""https://docs.google.com/spreadsheets/d/1Dj4jcHCTV9JXKCaMoheSXS52JE63kDKyG7bPXnFogHk/edit?usp=shar"&amp;"ing"",""นครศรีธรรมราช!L194"")+IMPORTRANGE(""https://docs.google.com/spreadsheets/d/1iodCdmuK2GR3jzUwk8tpccY2JHQQA-87DLOtJP-ooyU/edit?usp=sharing"",""นราธิวาส!L194"")+IMPORTRANGE(""https://docs.google.com/spreadsheets/d/1SDNX3JhDdYRuIOsj0Wh2M-Qa_eaXl0NbWmh"&amp;"AOTbfQAs/edit?usp=sharing"",""ปัตตานี!L194"")+IMPORTRANGE(""https://docs.google.com/spreadsheets/d/16JDLGguT8s5DsGCND1KcwHP_AWR_zDMTqLHPLJUKhaU/edit?usp=sharing"",""พังงา!L194"")+IMPORTRANGE(""https://docs.google.com/spreadsheets/d/17ht0gPKzzT3PObBL1XJkeR"&amp;"mntBXI7wGjpLV7QorqlTk/edit?usp=sharing"",""พัทลุง!L194"")+IMPORTRANGE(""https://docs.google.com/spreadsheets/d/1rd4qoM1q_hsgaolqNGfrim9gbsoLxQsda4-vOz5x_BM/edit?usp=sharing"",""ภูเก็ต!L194"")+IMPORTRANGE(""https://docs.google.com/spreadsheets/d/1woKwKjgoL"&amp;"ssDvPcPeVyezB5izizAn4X1JDrys69n6xI/edit?usp=sharing"",""ยะลา!L194"")+IMPORTRANGE(""https://docs.google.com/spreadsheets/d/1qfrKjzMhm2HJfxQ-qVlJlJQ25Hne1d0khsySbZyGtPA/edit?usp=sharing"",""ระนอง!L194"")+IMPORTRANGE(""https://docs.google.com/spreadsheets/d/"&amp;"1IbSCnFOKpZsnFogBHJnL_isstZVaOMnFiIN0fGTPZZw/edit?usp=sharing"",""สงขลา!L194"")+IMPORTRANGE(""https://docs.google.com/spreadsheets/d/1q9nWasZJ-K8bFGvbE9n0qSRuKGA4Toe3Y89cKCiVtCU/edit?usp=sharing"",""สตูล!L194"")+IMPORTRANGE(""https://docs.google.com/sprea"&amp;"dsheets/d/18T20gbkS_WBjdscyTOV05cvq_JqvqQ17C81mpxf7Ncs/edit?usp=sharing"",""สุราษฎร์ธานี!L194"")"),0)</f>
        <v>0</v>
      </c>
      <c r="M194" s="59">
        <f ca="1">IFERROR(__xludf.DUMMYFUNCTION("IMPORTRANGE(""https://docs.google.com/spreadsheets/d/1kKUcYdkIfrgTSj8iHHHB2MD2FAtwyyocFgqGQn6ADyI/edit?usp=sharing"",""กระบี่!M194"")+IMPORTRANGE(""https://docs.google.com/spreadsheets/d/1GwtLaSlNZkLk7iDqcyZz22giiy40b_usZZBXYciEN1U/edit?usp=sharing"",""ชุ"&amp;"มพร!M194"")+IMPORTRANGE(""https://docs.google.com/spreadsheets/d/16pAz3pOhQEZBhvFNMa5KGgZS6iKWpsKX0pg6tQmwFpo/edit?usp=sharing"",""ตรัง!M194"")+IMPORTRANGE(""https://docs.google.com/spreadsheets/d/1Dj4jcHCTV9JXKCaMoheSXS52JE63kDKyG7bPXnFogHk/edit?usp=shar"&amp;"ing"",""นครศรีธรรมราช!M194"")+IMPORTRANGE(""https://docs.google.com/spreadsheets/d/1iodCdmuK2GR3jzUwk8tpccY2JHQQA-87DLOtJP-ooyU/edit?usp=sharing"",""นราธิวาส!M194"")+IMPORTRANGE(""https://docs.google.com/spreadsheets/d/1SDNX3JhDdYRuIOsj0Wh2M-Qa_eaXl0NbWmh"&amp;"AOTbfQAs/edit?usp=sharing"",""ปัตตานี!M194"")+IMPORTRANGE(""https://docs.google.com/spreadsheets/d/16JDLGguT8s5DsGCND1KcwHP_AWR_zDMTqLHPLJUKhaU/edit?usp=sharing"",""พังงา!M194"")+IMPORTRANGE(""https://docs.google.com/spreadsheets/d/17ht0gPKzzT3PObBL1XJkeR"&amp;"mntBXI7wGjpLV7QorqlTk/edit?usp=sharing"",""พัทลุง!M194"")+IMPORTRANGE(""https://docs.google.com/spreadsheets/d/1rd4qoM1q_hsgaolqNGfrim9gbsoLxQsda4-vOz5x_BM/edit?usp=sharing"",""ภูเก็ต!M194"")+IMPORTRANGE(""https://docs.google.com/spreadsheets/d/1woKwKjgoL"&amp;"ssDvPcPeVyezB5izizAn4X1JDrys69n6xI/edit?usp=sharing"",""ยะลา!M194"")+IMPORTRANGE(""https://docs.google.com/spreadsheets/d/1qfrKjzMhm2HJfxQ-qVlJlJQ25Hne1d0khsySbZyGtPA/edit?usp=sharing"",""ระนอง!M194"")+IMPORTRANGE(""https://docs.google.com/spreadsheets/d/"&amp;"1IbSCnFOKpZsnFogBHJnL_isstZVaOMnFiIN0fGTPZZw/edit?usp=sharing"",""สงขลา!M194"")+IMPORTRANGE(""https://docs.google.com/spreadsheets/d/1q9nWasZJ-K8bFGvbE9n0qSRuKGA4Toe3Y89cKCiVtCU/edit?usp=sharing"",""สตูล!M194"")+IMPORTRANGE(""https://docs.google.com/sprea"&amp;"dsheets/d/18T20gbkS_WBjdscyTOV05cvq_JqvqQ17C81mpxf7Ncs/edit?usp=sharing"",""สุราษฎร์ธานี!M194"")"),0)</f>
        <v>0</v>
      </c>
      <c r="N194" s="59">
        <f ca="1">IFERROR(__xludf.DUMMYFUNCTION("IMPORTRANGE(""https://docs.google.com/spreadsheets/d/1kKUcYdkIfrgTSj8iHHHB2MD2FAtwyyocFgqGQn6ADyI/edit?usp=sharing"",""กระบี่!N194"")+IMPORTRANGE(""https://docs.google.com/spreadsheets/d/1GwtLaSlNZkLk7iDqcyZz22giiy40b_usZZBXYciEN1U/edit?usp=sharing"",""ชุ"&amp;"มพร!N194"")+IMPORTRANGE(""https://docs.google.com/spreadsheets/d/16pAz3pOhQEZBhvFNMa5KGgZS6iKWpsKX0pg6tQmwFpo/edit?usp=sharing"",""ตรัง!N194"")+IMPORTRANGE(""https://docs.google.com/spreadsheets/d/1Dj4jcHCTV9JXKCaMoheSXS52JE63kDKyG7bPXnFogHk/edit?usp=shar"&amp;"ing"",""นครศรีธรรมราช!N194"")+IMPORTRANGE(""https://docs.google.com/spreadsheets/d/1iodCdmuK2GR3jzUwk8tpccY2JHQQA-87DLOtJP-ooyU/edit?usp=sharing"",""นราธิวาส!N194"")+IMPORTRANGE(""https://docs.google.com/spreadsheets/d/1SDNX3JhDdYRuIOsj0Wh2M-Qa_eaXl0NbWmh"&amp;"AOTbfQAs/edit?usp=sharing"",""ปัตตานี!N194"")+IMPORTRANGE(""https://docs.google.com/spreadsheets/d/16JDLGguT8s5DsGCND1KcwHP_AWR_zDMTqLHPLJUKhaU/edit?usp=sharing"",""พังงา!N194"")+IMPORTRANGE(""https://docs.google.com/spreadsheets/d/17ht0gPKzzT3PObBL1XJkeR"&amp;"mntBXI7wGjpLV7QorqlTk/edit?usp=sharing"",""พัทลุง!N194"")+IMPORTRANGE(""https://docs.google.com/spreadsheets/d/1rd4qoM1q_hsgaolqNGfrim9gbsoLxQsda4-vOz5x_BM/edit?usp=sharing"",""ภูเก็ต!N194"")+IMPORTRANGE(""https://docs.google.com/spreadsheets/d/1woKwKjgoL"&amp;"ssDvPcPeVyezB5izizAn4X1JDrys69n6xI/edit?usp=sharing"",""ยะลา!N194"")+IMPORTRANGE(""https://docs.google.com/spreadsheets/d/1qfrKjzMhm2HJfxQ-qVlJlJQ25Hne1d0khsySbZyGtPA/edit?usp=sharing"",""ระนอง!N194"")+IMPORTRANGE(""https://docs.google.com/spreadsheets/d/"&amp;"1IbSCnFOKpZsnFogBHJnL_isstZVaOMnFiIN0fGTPZZw/edit?usp=sharing"",""สงขลา!N194"")+IMPORTRANGE(""https://docs.google.com/spreadsheets/d/1q9nWasZJ-K8bFGvbE9n0qSRuKGA4Toe3Y89cKCiVtCU/edit?usp=sharing"",""สตูล!N194"")+IMPORTRANGE(""https://docs.google.com/sprea"&amp;"dsheets/d/18T20gbkS_WBjdscyTOV05cvq_JqvqQ17C81mpxf7Ncs/edit?usp=sharing"",""สุราษฎร์ธานี!N194"")"),0)</f>
        <v>0</v>
      </c>
      <c r="O194" s="59">
        <f t="shared" ca="1" si="93"/>
        <v>0</v>
      </c>
      <c r="P194" s="59">
        <f t="shared" ca="1" si="94"/>
        <v>0</v>
      </c>
    </row>
    <row r="195" spans="1:16" ht="19.5" x14ac:dyDescent="0.3">
      <c r="A195" s="279"/>
      <c r="B195" s="280"/>
      <c r="C195" s="281" t="s">
        <v>72</v>
      </c>
      <c r="D195" s="282"/>
      <c r="E195" s="282"/>
      <c r="F195" s="282"/>
      <c r="G195" s="283"/>
      <c r="H195" s="284" t="s">
        <v>73</v>
      </c>
      <c r="I195" s="285">
        <f t="shared" ref="I195:J195" ca="1" si="99">I198</f>
        <v>56</v>
      </c>
      <c r="J195" s="285">
        <f t="shared" ca="1" si="99"/>
        <v>7</v>
      </c>
      <c r="K195" s="286">
        <f ca="1">IF(I195&gt;0,J195*100/I195,0)</f>
        <v>12.5</v>
      </c>
      <c r="L195" s="287"/>
      <c r="M195" s="287"/>
      <c r="N195" s="287"/>
      <c r="O195" s="287"/>
      <c r="P195" s="287"/>
    </row>
    <row r="196" spans="1:16" ht="19.5" x14ac:dyDescent="0.3">
      <c r="A196" s="157"/>
      <c r="B196" s="53"/>
      <c r="C196" s="158" t="s">
        <v>16</v>
      </c>
      <c r="D196" s="288" t="s">
        <v>17</v>
      </c>
      <c r="E196" s="53"/>
      <c r="F196" s="53"/>
      <c r="G196" s="55"/>
      <c r="H196" s="289" t="s">
        <v>12</v>
      </c>
      <c r="I196" s="57"/>
      <c r="J196" s="57"/>
      <c r="K196" s="58"/>
      <c r="L196" s="161">
        <f ca="1">IFERROR(__xludf.DUMMYFUNCTION("IMPORTRANGE(""https://docs.google.com/spreadsheets/d/1kKUcYdkIfrgTSj8iHHHB2MD2FAtwyyocFgqGQn6ADyI/edit?usp=sharing"",""กระบี่!L196"")+IMPORTRANGE(""https://docs.google.com/spreadsheets/d/1GwtLaSlNZkLk7iDqcyZz22giiy40b_usZZBXYciEN1U/edit?usp=sharing"",""ชุ"&amp;"มพร!L196"")+IMPORTRANGE(""https://docs.google.com/spreadsheets/d/16pAz3pOhQEZBhvFNMa5KGgZS6iKWpsKX0pg6tQmwFpo/edit?usp=sharing"",""ตรัง!L196"")+IMPORTRANGE(""https://docs.google.com/spreadsheets/d/1Dj4jcHCTV9JXKCaMoheSXS52JE63kDKyG7bPXnFogHk/edit?usp=shar"&amp;"ing"",""นครศรีธรรมราช!L196"")+IMPORTRANGE(""https://docs.google.com/spreadsheets/d/1iodCdmuK2GR3jzUwk8tpccY2JHQQA-87DLOtJP-ooyU/edit?usp=sharing"",""นราธิวาส!L196"")+IMPORTRANGE(""https://docs.google.com/spreadsheets/d/1SDNX3JhDdYRuIOsj0Wh2M-Qa_eaXl0NbWmh"&amp;"AOTbfQAs/edit?usp=sharing"",""ปัตตานี!L196"")+IMPORTRANGE(""https://docs.google.com/spreadsheets/d/16JDLGguT8s5DsGCND1KcwHP_AWR_zDMTqLHPLJUKhaU/edit?usp=sharing"",""พังงา!L196"")+IMPORTRANGE(""https://docs.google.com/spreadsheets/d/17ht0gPKzzT3PObBL1XJkeR"&amp;"mntBXI7wGjpLV7QorqlTk/edit?usp=sharing"",""พัทลุง!L196"")+IMPORTRANGE(""https://docs.google.com/spreadsheets/d/1rd4qoM1q_hsgaolqNGfrim9gbsoLxQsda4-vOz5x_BM/edit?usp=sharing"",""ภูเก็ต!L196"")+IMPORTRANGE(""https://docs.google.com/spreadsheets/d/1woKwKjgoL"&amp;"ssDvPcPeVyezB5izizAn4X1JDrys69n6xI/edit?usp=sharing"",""ยะลา!L196"")+IMPORTRANGE(""https://docs.google.com/spreadsheets/d/1qfrKjzMhm2HJfxQ-qVlJlJQ25Hne1d0khsySbZyGtPA/edit?usp=sharing"",""ระนอง!L196"")+IMPORTRANGE(""https://docs.google.com/spreadsheets/d/"&amp;"1IbSCnFOKpZsnFogBHJnL_isstZVaOMnFiIN0fGTPZZw/edit?usp=sharing"",""สงขลา!L196"")+IMPORTRANGE(""https://docs.google.com/spreadsheets/d/1q9nWasZJ-K8bFGvbE9n0qSRuKGA4Toe3Y89cKCiVtCU/edit?usp=sharing"",""สตูล!L196"")+IMPORTRANGE(""https://docs.google.com/sprea"&amp;"dsheets/d/18T20gbkS_WBjdscyTOV05cvq_JqvqQ17C81mpxf7Ncs/edit?usp=sharing"",""สุราษฎร์ธานี!L196"")"),84000)</f>
        <v>84000</v>
      </c>
      <c r="M196" s="58"/>
      <c r="N196" s="161">
        <f ca="1">IFERROR(__xludf.DUMMYFUNCTION("IMPORTRANGE(""https://docs.google.com/spreadsheets/d/1kKUcYdkIfrgTSj8iHHHB2MD2FAtwyyocFgqGQn6ADyI/edit?usp=sharing"",""กระบี่!N196"")+IMPORTRANGE(""https://docs.google.com/spreadsheets/d/1GwtLaSlNZkLk7iDqcyZz22giiy40b_usZZBXYciEN1U/edit?usp=sharing"",""ชุ"&amp;"มพร!N196"")+IMPORTRANGE(""https://docs.google.com/spreadsheets/d/16pAz3pOhQEZBhvFNMa5KGgZS6iKWpsKX0pg6tQmwFpo/edit?usp=sharing"",""ตรัง!N196"")+IMPORTRANGE(""https://docs.google.com/spreadsheets/d/1Dj4jcHCTV9JXKCaMoheSXS52JE63kDKyG7bPXnFogHk/edit?usp=shar"&amp;"ing"",""นครศรีธรรมราช!N196"")+IMPORTRANGE(""https://docs.google.com/spreadsheets/d/1iodCdmuK2GR3jzUwk8tpccY2JHQQA-87DLOtJP-ooyU/edit?usp=sharing"",""นราธิวาส!N196"")+IMPORTRANGE(""https://docs.google.com/spreadsheets/d/1SDNX3JhDdYRuIOsj0Wh2M-Qa_eaXl0NbWmh"&amp;"AOTbfQAs/edit?usp=sharing"",""ปัตตานี!N196"")+IMPORTRANGE(""https://docs.google.com/spreadsheets/d/16JDLGguT8s5DsGCND1KcwHP_AWR_zDMTqLHPLJUKhaU/edit?usp=sharing"",""พังงา!N196"")+IMPORTRANGE(""https://docs.google.com/spreadsheets/d/17ht0gPKzzT3PObBL1XJkeR"&amp;"mntBXI7wGjpLV7QorqlTk/edit?usp=sharing"",""พัทลุง!N196"")+IMPORTRANGE(""https://docs.google.com/spreadsheets/d/1rd4qoM1q_hsgaolqNGfrim9gbsoLxQsda4-vOz5x_BM/edit?usp=sharing"",""ภูเก็ต!N196"")+IMPORTRANGE(""https://docs.google.com/spreadsheets/d/1woKwKjgoL"&amp;"ssDvPcPeVyezB5izizAn4X1JDrys69n6xI/edit?usp=sharing"",""ยะลา!N196"")+IMPORTRANGE(""https://docs.google.com/spreadsheets/d/1qfrKjzMhm2HJfxQ-qVlJlJQ25Hne1d0khsySbZyGtPA/edit?usp=sharing"",""ระนอง!N196"")+IMPORTRANGE(""https://docs.google.com/spreadsheets/d/"&amp;"1IbSCnFOKpZsnFogBHJnL_isstZVaOMnFiIN0fGTPZZw/edit?usp=sharing"",""สงขลา!N196"")+IMPORTRANGE(""https://docs.google.com/spreadsheets/d/1q9nWasZJ-K8bFGvbE9n0qSRuKGA4Toe3Y89cKCiVtCU/edit?usp=sharing"",""สตูล!N196"")+IMPORTRANGE(""https://docs.google.com/sprea"&amp;"dsheets/d/18T20gbkS_WBjdscyTOV05cvq_JqvqQ17C81mpxf7Ncs/edit?usp=sharing"",""สุราษฎร์ธานี!N196"")"),1800)</f>
        <v>1800</v>
      </c>
      <c r="O196" s="161">
        <f ca="1">IF(L196&gt;0,N196*100/L196,0)</f>
        <v>2.1428571428571428</v>
      </c>
      <c r="P196" s="161"/>
    </row>
    <row r="197" spans="1:16" ht="19.5" x14ac:dyDescent="0.3">
      <c r="A197" s="167"/>
      <c r="B197" s="168"/>
      <c r="C197" s="158" t="s">
        <v>16</v>
      </c>
      <c r="D197" s="169" t="s">
        <v>36</v>
      </c>
      <c r="E197" s="170"/>
      <c r="F197" s="170"/>
      <c r="G197" s="171"/>
      <c r="H197" s="172"/>
      <c r="I197" s="57"/>
      <c r="J197" s="57"/>
      <c r="K197" s="58"/>
      <c r="L197" s="58"/>
      <c r="M197" s="58"/>
      <c r="N197" s="58"/>
      <c r="O197" s="58"/>
      <c r="P197" s="58"/>
    </row>
    <row r="198" spans="1:16" ht="18.75" x14ac:dyDescent="0.25">
      <c r="A198" s="167"/>
      <c r="B198" s="168"/>
      <c r="C198" s="168"/>
      <c r="D198" s="193" t="s">
        <v>74</v>
      </c>
      <c r="E198" s="174"/>
      <c r="F198" s="174"/>
      <c r="G198" s="172"/>
      <c r="H198" s="179" t="s">
        <v>73</v>
      </c>
      <c r="I198" s="194">
        <f ca="1">IFERROR(__xludf.DUMMYFUNCTION("IMPORTRANGE(""https://docs.google.com/spreadsheets/d/1kKUcYdkIfrgTSj8iHHHB2MD2FAtwyyocFgqGQn6ADyI/edit?usp=sharing"",""กระบี่!I198"")+IMPORTRANGE(""https://docs.google.com/spreadsheets/d/1GwtLaSlNZkLk7iDqcyZz22giiy40b_usZZBXYciEN1U/edit?usp=sharing"",""ชุ"&amp;"มพร!I198"")+IMPORTRANGE(""https://docs.google.com/spreadsheets/d/16pAz3pOhQEZBhvFNMa5KGgZS6iKWpsKX0pg6tQmwFpo/edit?usp=sharing"",""ตรัง!I198"")+IMPORTRANGE(""https://docs.google.com/spreadsheets/d/1Dj4jcHCTV9JXKCaMoheSXS52JE63kDKyG7bPXnFogHk/edit?usp=shar"&amp;"ing"",""นครศรีธรรมราช!I198"")+IMPORTRANGE(""https://docs.google.com/spreadsheets/d/1iodCdmuK2GR3jzUwk8tpccY2JHQQA-87DLOtJP-ooyU/edit?usp=sharing"",""นราธิวาส!I198"")+IMPORTRANGE(""https://docs.google.com/spreadsheets/d/1SDNX3JhDdYRuIOsj0Wh2M-Qa_eaXl0NbWmh"&amp;"AOTbfQAs/edit?usp=sharing"",""ปัตตานี!I198"")+IMPORTRANGE(""https://docs.google.com/spreadsheets/d/16JDLGguT8s5DsGCND1KcwHP_AWR_zDMTqLHPLJUKhaU/edit?usp=sharing"",""พังงา!I198"")+IMPORTRANGE(""https://docs.google.com/spreadsheets/d/17ht0gPKzzT3PObBL1XJkeR"&amp;"mntBXI7wGjpLV7QorqlTk/edit?usp=sharing"",""พัทลุง!I198"")+IMPORTRANGE(""https://docs.google.com/spreadsheets/d/1rd4qoM1q_hsgaolqNGfrim9gbsoLxQsda4-vOz5x_BM/edit?usp=sharing"",""ภูเก็ต!I198"")+IMPORTRANGE(""https://docs.google.com/spreadsheets/d/1woKwKjgoL"&amp;"ssDvPcPeVyezB5izizAn4X1JDrys69n6xI/edit?usp=sharing"",""ยะลา!I198"")+IMPORTRANGE(""https://docs.google.com/spreadsheets/d/1qfrKjzMhm2HJfxQ-qVlJlJQ25Hne1d0khsySbZyGtPA/edit?usp=sharing"",""ระนอง!I198"")+IMPORTRANGE(""https://docs.google.com/spreadsheets/d/"&amp;"1IbSCnFOKpZsnFogBHJnL_isstZVaOMnFiIN0fGTPZZw/edit?usp=sharing"",""สงขลา!I198"")+IMPORTRANGE(""https://docs.google.com/spreadsheets/d/1q9nWasZJ-K8bFGvbE9n0qSRuKGA4Toe3Y89cKCiVtCU/edit?usp=sharing"",""สตูล!I198"")+IMPORTRANGE(""https://docs.google.com/sprea"&amp;"dsheets/d/18T20gbkS_WBjdscyTOV05cvq_JqvqQ17C81mpxf7Ncs/edit?usp=sharing"",""สุราษฎร์ธานี!I198"")"),56)</f>
        <v>56</v>
      </c>
      <c r="J198" s="194">
        <f ca="1">IFERROR(__xludf.DUMMYFUNCTION("IMPORTRANGE(""https://docs.google.com/spreadsheets/d/1kKUcYdkIfrgTSj8iHHHB2MD2FAtwyyocFgqGQn6ADyI/edit?usp=sharing"",""กระบี่!J198"")+IMPORTRANGE(""https://docs.google.com/spreadsheets/d/1GwtLaSlNZkLk7iDqcyZz22giiy40b_usZZBXYciEN1U/edit?usp=sharing"",""ชุ"&amp;"มพร!J198"")+IMPORTRANGE(""https://docs.google.com/spreadsheets/d/16pAz3pOhQEZBhvFNMa5KGgZS6iKWpsKX0pg6tQmwFpo/edit?usp=sharing"",""ตรัง!J198"")+IMPORTRANGE(""https://docs.google.com/spreadsheets/d/1Dj4jcHCTV9JXKCaMoheSXS52JE63kDKyG7bPXnFogHk/edit?usp=shar"&amp;"ing"",""นครศรีธรรมราช!J198"")+IMPORTRANGE(""https://docs.google.com/spreadsheets/d/1iodCdmuK2GR3jzUwk8tpccY2JHQQA-87DLOtJP-ooyU/edit?usp=sharing"",""นราธิวาส!J198"")+IMPORTRANGE(""https://docs.google.com/spreadsheets/d/1SDNX3JhDdYRuIOsj0Wh2M-Qa_eaXl0NbWmh"&amp;"AOTbfQAs/edit?usp=sharing"",""ปัตตานี!J198"")+IMPORTRANGE(""https://docs.google.com/spreadsheets/d/16JDLGguT8s5DsGCND1KcwHP_AWR_zDMTqLHPLJUKhaU/edit?usp=sharing"",""พังงา!J198"")+IMPORTRANGE(""https://docs.google.com/spreadsheets/d/17ht0gPKzzT3PObBL1XJkeR"&amp;"mntBXI7wGjpLV7QorqlTk/edit?usp=sharing"",""พัทลุง!J198"")+IMPORTRANGE(""https://docs.google.com/spreadsheets/d/1rd4qoM1q_hsgaolqNGfrim9gbsoLxQsda4-vOz5x_BM/edit?usp=sharing"",""ภูเก็ต!J198"")+IMPORTRANGE(""https://docs.google.com/spreadsheets/d/1woKwKjgoL"&amp;"ssDvPcPeVyezB5izizAn4X1JDrys69n6xI/edit?usp=sharing"",""ยะลา!J198"")+IMPORTRANGE(""https://docs.google.com/spreadsheets/d/1qfrKjzMhm2HJfxQ-qVlJlJQ25Hne1d0khsySbZyGtPA/edit?usp=sharing"",""ระนอง!J198"")+IMPORTRANGE(""https://docs.google.com/spreadsheets/d/"&amp;"1IbSCnFOKpZsnFogBHJnL_isstZVaOMnFiIN0fGTPZZw/edit?usp=sharing"",""สงขลา!J198"")+IMPORTRANGE(""https://docs.google.com/spreadsheets/d/1q9nWasZJ-K8bFGvbE9n0qSRuKGA4Toe3Y89cKCiVtCU/edit?usp=sharing"",""สตูล!J198"")+IMPORTRANGE(""https://docs.google.com/sprea"&amp;"dsheets/d/18T20gbkS_WBjdscyTOV05cvq_JqvqQ17C81mpxf7Ncs/edit?usp=sharing"",""สุราษฎร์ธานี!J198"")"),7)</f>
        <v>7</v>
      </c>
      <c r="K198" s="59">
        <f ca="1">IF(I198&gt;0,J198*100/I198,0)</f>
        <v>12.5</v>
      </c>
      <c r="L198" s="58"/>
      <c r="M198" s="58"/>
      <c r="N198" s="58"/>
      <c r="O198" s="58"/>
      <c r="P198" s="58"/>
    </row>
    <row r="199" spans="1:16" ht="19.5" x14ac:dyDescent="0.3">
      <c r="A199" s="167"/>
      <c r="B199" s="168"/>
      <c r="C199" s="168"/>
      <c r="D199" s="193" t="s">
        <v>75</v>
      </c>
      <c r="E199" s="174"/>
      <c r="F199" s="174"/>
      <c r="G199" s="172"/>
      <c r="H199" s="290" t="s">
        <v>33</v>
      </c>
      <c r="I199" s="57"/>
      <c r="J199" s="176">
        <f ca="1">J200+J201</f>
        <v>232</v>
      </c>
      <c r="K199" s="58"/>
      <c r="L199" s="58"/>
      <c r="M199" s="58"/>
      <c r="N199" s="58"/>
      <c r="O199" s="58"/>
      <c r="P199" s="58"/>
    </row>
    <row r="200" spans="1:16" ht="18.75" x14ac:dyDescent="0.25">
      <c r="A200" s="167"/>
      <c r="B200" s="168"/>
      <c r="C200" s="168"/>
      <c r="D200" s="168"/>
      <c r="E200" s="193" t="s">
        <v>76</v>
      </c>
      <c r="F200" s="174"/>
      <c r="G200" s="172"/>
      <c r="H200" s="277" t="s">
        <v>33</v>
      </c>
      <c r="I200" s="57"/>
      <c r="J200" s="181">
        <f ca="1">IFERROR(__xludf.DUMMYFUNCTION("IMPORTRANGE(""https://docs.google.com/spreadsheets/d/1kKUcYdkIfrgTSj8iHHHB2MD2FAtwyyocFgqGQn6ADyI/edit?usp=sharing"",""กระบี่!J200"")+IMPORTRANGE(""https://docs.google.com/spreadsheets/d/1GwtLaSlNZkLk7iDqcyZz22giiy40b_usZZBXYciEN1U/edit?usp=sharing"",""ชุ"&amp;"มพร!J200"")+IMPORTRANGE(""https://docs.google.com/spreadsheets/d/16pAz3pOhQEZBhvFNMa5KGgZS6iKWpsKX0pg6tQmwFpo/edit?usp=sharing"",""ตรัง!J200"")+IMPORTRANGE(""https://docs.google.com/spreadsheets/d/1Dj4jcHCTV9JXKCaMoheSXS52JE63kDKyG7bPXnFogHk/edit?usp=shar"&amp;"ing"",""นครศรีธรรมราช!J200"")+IMPORTRANGE(""https://docs.google.com/spreadsheets/d/1iodCdmuK2GR3jzUwk8tpccY2JHQQA-87DLOtJP-ooyU/edit?usp=sharing"",""นราธิวาส!J200"")+IMPORTRANGE(""https://docs.google.com/spreadsheets/d/1SDNX3JhDdYRuIOsj0Wh2M-Qa_eaXl0NbWmh"&amp;"AOTbfQAs/edit?usp=sharing"",""ปัตตานี!J200"")+IMPORTRANGE(""https://docs.google.com/spreadsheets/d/16JDLGguT8s5DsGCND1KcwHP_AWR_zDMTqLHPLJUKhaU/edit?usp=sharing"",""พังงา!J200"")+IMPORTRANGE(""https://docs.google.com/spreadsheets/d/17ht0gPKzzT3PObBL1XJkeR"&amp;"mntBXI7wGjpLV7QorqlTk/edit?usp=sharing"",""พัทลุง!J200"")+IMPORTRANGE(""https://docs.google.com/spreadsheets/d/1rd4qoM1q_hsgaolqNGfrim9gbsoLxQsda4-vOz5x_BM/edit?usp=sharing"",""ภูเก็ต!J200"")+IMPORTRANGE(""https://docs.google.com/spreadsheets/d/1woKwKjgoL"&amp;"ssDvPcPeVyezB5izizAn4X1JDrys69n6xI/edit?usp=sharing"",""ยะลา!J200"")+IMPORTRANGE(""https://docs.google.com/spreadsheets/d/1qfrKjzMhm2HJfxQ-qVlJlJQ25Hne1d0khsySbZyGtPA/edit?usp=sharing"",""ระนอง!J200"")+IMPORTRANGE(""https://docs.google.com/spreadsheets/d/"&amp;"1IbSCnFOKpZsnFogBHJnL_isstZVaOMnFiIN0fGTPZZw/edit?usp=sharing"",""สงขลา!J200"")+IMPORTRANGE(""https://docs.google.com/spreadsheets/d/1q9nWasZJ-K8bFGvbE9n0qSRuKGA4Toe3Y89cKCiVtCU/edit?usp=sharing"",""สตูล!J200"")+IMPORTRANGE(""https://docs.google.com/sprea"&amp;"dsheets/d/18T20gbkS_WBjdscyTOV05cvq_JqvqQ17C81mpxf7Ncs/edit?usp=sharing"",""สุราษฎร์ธานี!J200"")"),232)</f>
        <v>232</v>
      </c>
      <c r="K200" s="58"/>
      <c r="L200" s="58"/>
      <c r="M200" s="58"/>
      <c r="N200" s="58"/>
      <c r="O200" s="58"/>
      <c r="P200" s="58"/>
    </row>
    <row r="201" spans="1:16" ht="18.75" x14ac:dyDescent="0.25">
      <c r="A201" s="167"/>
      <c r="B201" s="168"/>
      <c r="C201" s="168"/>
      <c r="D201" s="168"/>
      <c r="E201" s="193" t="s">
        <v>77</v>
      </c>
      <c r="F201" s="174"/>
      <c r="G201" s="172"/>
      <c r="H201" s="277" t="s">
        <v>33</v>
      </c>
      <c r="I201" s="57"/>
      <c r="J201" s="181">
        <f ca="1">IFERROR(__xludf.DUMMYFUNCTION("IMPORTRANGE(""https://docs.google.com/spreadsheets/d/1kKUcYdkIfrgTSj8iHHHB2MD2FAtwyyocFgqGQn6ADyI/edit?usp=sharing"",""กระบี่!J201"")+IMPORTRANGE(""https://docs.google.com/spreadsheets/d/1GwtLaSlNZkLk7iDqcyZz22giiy40b_usZZBXYciEN1U/edit?usp=sharing"",""ชุ"&amp;"มพร!J201"")+IMPORTRANGE(""https://docs.google.com/spreadsheets/d/16pAz3pOhQEZBhvFNMa5KGgZS6iKWpsKX0pg6tQmwFpo/edit?usp=sharing"",""ตรัง!J201"")+IMPORTRANGE(""https://docs.google.com/spreadsheets/d/1Dj4jcHCTV9JXKCaMoheSXS52JE63kDKyG7bPXnFogHk/edit?usp=shar"&amp;"ing"",""นครศรีธรรมราช!J201"")+IMPORTRANGE(""https://docs.google.com/spreadsheets/d/1iodCdmuK2GR3jzUwk8tpccY2JHQQA-87DLOtJP-ooyU/edit?usp=sharing"",""นราธิวาส!J201"")+IMPORTRANGE(""https://docs.google.com/spreadsheets/d/1SDNX3JhDdYRuIOsj0Wh2M-Qa_eaXl0NbWmh"&amp;"AOTbfQAs/edit?usp=sharing"",""ปัตตานี!J201"")+IMPORTRANGE(""https://docs.google.com/spreadsheets/d/16JDLGguT8s5DsGCND1KcwHP_AWR_zDMTqLHPLJUKhaU/edit?usp=sharing"",""พังงา!J201"")+IMPORTRANGE(""https://docs.google.com/spreadsheets/d/17ht0gPKzzT3PObBL1XJkeR"&amp;"mntBXI7wGjpLV7QorqlTk/edit?usp=sharing"",""พัทลุง!J201"")+IMPORTRANGE(""https://docs.google.com/spreadsheets/d/1rd4qoM1q_hsgaolqNGfrim9gbsoLxQsda4-vOz5x_BM/edit?usp=sharing"",""ภูเก็ต!J201"")+IMPORTRANGE(""https://docs.google.com/spreadsheets/d/1woKwKjgoL"&amp;"ssDvPcPeVyezB5izizAn4X1JDrys69n6xI/edit?usp=sharing"",""ยะลา!J201"")+IMPORTRANGE(""https://docs.google.com/spreadsheets/d/1qfrKjzMhm2HJfxQ-qVlJlJQ25Hne1d0khsySbZyGtPA/edit?usp=sharing"",""ระนอง!J201"")+IMPORTRANGE(""https://docs.google.com/spreadsheets/d/"&amp;"1IbSCnFOKpZsnFogBHJnL_isstZVaOMnFiIN0fGTPZZw/edit?usp=sharing"",""สงขลา!J201"")+IMPORTRANGE(""https://docs.google.com/spreadsheets/d/1q9nWasZJ-K8bFGvbE9n0qSRuKGA4Toe3Y89cKCiVtCU/edit?usp=sharing"",""สตูล!J201"")+IMPORTRANGE(""https://docs.google.com/sprea"&amp;"dsheets/d/18T20gbkS_WBjdscyTOV05cvq_JqvqQ17C81mpxf7Ncs/edit?usp=sharing"",""สุราษฎร์ธานี!J201"")"),0)</f>
        <v>0</v>
      </c>
      <c r="K201" s="58"/>
      <c r="L201" s="58"/>
      <c r="M201" s="58"/>
      <c r="N201" s="58"/>
      <c r="O201" s="58"/>
      <c r="P201" s="58"/>
    </row>
    <row r="202" spans="1:16" ht="19.5" x14ac:dyDescent="0.3">
      <c r="A202" s="279"/>
      <c r="B202" s="280"/>
      <c r="C202" s="281" t="s">
        <v>78</v>
      </c>
      <c r="D202" s="282"/>
      <c r="E202" s="282"/>
      <c r="F202" s="282"/>
      <c r="G202" s="283"/>
      <c r="H202" s="291" t="s">
        <v>79</v>
      </c>
      <c r="I202" s="285">
        <f t="shared" ref="I202:J202" ca="1" si="100">I209</f>
        <v>22</v>
      </c>
      <c r="J202" s="285">
        <f t="shared" ca="1" si="100"/>
        <v>1</v>
      </c>
      <c r="K202" s="286">
        <f ca="1">IF(I202&gt;0,J202*100/I202,0)</f>
        <v>4.5454545454545459</v>
      </c>
      <c r="L202" s="287"/>
      <c r="M202" s="287"/>
      <c r="N202" s="287"/>
      <c r="O202" s="287"/>
      <c r="P202" s="287"/>
    </row>
    <row r="203" spans="1:16" ht="19.5" x14ac:dyDescent="0.3">
      <c r="A203" s="157"/>
      <c r="B203" s="53"/>
      <c r="C203" s="158" t="s">
        <v>16</v>
      </c>
      <c r="D203" s="288" t="s">
        <v>17</v>
      </c>
      <c r="E203" s="53"/>
      <c r="F203" s="53"/>
      <c r="G203" s="55"/>
      <c r="H203" s="289" t="s">
        <v>12</v>
      </c>
      <c r="I203" s="164"/>
      <c r="J203" s="164"/>
      <c r="K203" s="165"/>
      <c r="L203" s="161">
        <f ca="1">L204+L205+L206+L207</f>
        <v>304000</v>
      </c>
      <c r="M203" s="58"/>
      <c r="N203" s="161">
        <f ca="1">N204+N205+N206+N207</f>
        <v>8960</v>
      </c>
      <c r="O203" s="161">
        <f ca="1">IF(L203&gt;0,N203*100/L203,0)</f>
        <v>2.9473684210526314</v>
      </c>
      <c r="P203" s="161"/>
    </row>
    <row r="204" spans="1:16" ht="18.75" x14ac:dyDescent="0.25">
      <c r="A204" s="157"/>
      <c r="B204" s="278"/>
      <c r="C204" s="53"/>
      <c r="D204" s="292" t="s">
        <v>80</v>
      </c>
      <c r="E204" s="53"/>
      <c r="F204" s="53"/>
      <c r="G204" s="55"/>
      <c r="H204" s="163" t="s">
        <v>12</v>
      </c>
      <c r="I204" s="164"/>
      <c r="J204" s="164"/>
      <c r="K204" s="165"/>
      <c r="L204" s="59">
        <f ca="1">IFERROR(__xludf.DUMMYFUNCTION("IMPORTRANGE(""https://docs.google.com/spreadsheets/d/1kKUcYdkIfrgTSj8iHHHB2MD2FAtwyyocFgqGQn6ADyI/edit?usp=sharing"",""กระบี่!L204"")+IMPORTRANGE(""https://docs.google.com/spreadsheets/d/1GwtLaSlNZkLk7iDqcyZz22giiy40b_usZZBXYciEN1U/edit?usp=sharing"",""ชุ"&amp;"มพร!L204"")+IMPORTRANGE(""https://docs.google.com/spreadsheets/d/16pAz3pOhQEZBhvFNMa5KGgZS6iKWpsKX0pg6tQmwFpo/edit?usp=sharing"",""ตรัง!L204"")+IMPORTRANGE(""https://docs.google.com/spreadsheets/d/1Dj4jcHCTV9JXKCaMoheSXS52JE63kDKyG7bPXnFogHk/edit?usp=shar"&amp;"ing"",""นครศรีธรรมราช!L204"")+IMPORTRANGE(""https://docs.google.com/spreadsheets/d/1iodCdmuK2GR3jzUwk8tpccY2JHQQA-87DLOtJP-ooyU/edit?usp=sharing"",""นราธิวาส!L204"")+IMPORTRANGE(""https://docs.google.com/spreadsheets/d/1SDNX3JhDdYRuIOsj0Wh2M-Qa_eaXl0NbWmh"&amp;"AOTbfQAs/edit?usp=sharing"",""ปัตตานี!L204"")+IMPORTRANGE(""https://docs.google.com/spreadsheets/d/16JDLGguT8s5DsGCND1KcwHP_AWR_zDMTqLHPLJUKhaU/edit?usp=sharing"",""พังงา!L204"")+IMPORTRANGE(""https://docs.google.com/spreadsheets/d/17ht0gPKzzT3PObBL1XJkeR"&amp;"mntBXI7wGjpLV7QorqlTk/edit?usp=sharing"",""พัทลุง!L204"")+IMPORTRANGE(""https://docs.google.com/spreadsheets/d/1rd4qoM1q_hsgaolqNGfrim9gbsoLxQsda4-vOz5x_BM/edit?usp=sharing"",""ภูเก็ต!L204"")+IMPORTRANGE(""https://docs.google.com/spreadsheets/d/1woKwKjgoL"&amp;"ssDvPcPeVyezB5izizAn4X1JDrys69n6xI/edit?usp=sharing"",""ยะลา!L204"")+IMPORTRANGE(""https://docs.google.com/spreadsheets/d/1qfrKjzMhm2HJfxQ-qVlJlJQ25Hne1d0khsySbZyGtPA/edit?usp=sharing"",""ระนอง!L204"")+IMPORTRANGE(""https://docs.google.com/spreadsheets/d/"&amp;"1IbSCnFOKpZsnFogBHJnL_isstZVaOMnFiIN0fGTPZZw/edit?usp=sharing"",""สงขลา!L204"")+IMPORTRANGE(""https://docs.google.com/spreadsheets/d/1q9nWasZJ-K8bFGvbE9n0qSRuKGA4Toe3Y89cKCiVtCU/edit?usp=sharing"",""สตูล!L204"")+IMPORTRANGE(""https://docs.google.com/sprea"&amp;"dsheets/d/18T20gbkS_WBjdscyTOV05cvq_JqvqQ17C81mpxf7Ncs/edit?usp=sharing"",""สุราษฎร์ธานี!L204"")"),22000)</f>
        <v>22000</v>
      </c>
      <c r="M204" s="58"/>
      <c r="N204" s="59">
        <f ca="1">IFERROR(__xludf.DUMMYFUNCTION("IMPORTRANGE(""https://docs.google.com/spreadsheets/d/1kKUcYdkIfrgTSj8iHHHB2MD2FAtwyyocFgqGQn6ADyI/edit?usp=sharing"",""กระบี่!N204"")+IMPORTRANGE(""https://docs.google.com/spreadsheets/d/1GwtLaSlNZkLk7iDqcyZz22giiy40b_usZZBXYciEN1U/edit?usp=sharing"",""ชุ"&amp;"มพร!N204"")+IMPORTRANGE(""https://docs.google.com/spreadsheets/d/16pAz3pOhQEZBhvFNMa5KGgZS6iKWpsKX0pg6tQmwFpo/edit?usp=sharing"",""ตรัง!N204"")+IMPORTRANGE(""https://docs.google.com/spreadsheets/d/1Dj4jcHCTV9JXKCaMoheSXS52JE63kDKyG7bPXnFogHk/edit?usp=shar"&amp;"ing"",""นครศรีธรรมราช!N204"")+IMPORTRANGE(""https://docs.google.com/spreadsheets/d/1iodCdmuK2GR3jzUwk8tpccY2JHQQA-87DLOtJP-ooyU/edit?usp=sharing"",""นราธิวาส!N204"")+IMPORTRANGE(""https://docs.google.com/spreadsheets/d/1SDNX3JhDdYRuIOsj0Wh2M-Qa_eaXl0NbWmh"&amp;"AOTbfQAs/edit?usp=sharing"",""ปัตตานี!N204"")+IMPORTRANGE(""https://docs.google.com/spreadsheets/d/16JDLGguT8s5DsGCND1KcwHP_AWR_zDMTqLHPLJUKhaU/edit?usp=sharing"",""พังงา!N204"")+IMPORTRANGE(""https://docs.google.com/spreadsheets/d/17ht0gPKzzT3PObBL1XJkeR"&amp;"mntBXI7wGjpLV7QorqlTk/edit?usp=sharing"",""พัทลุง!N204"")+IMPORTRANGE(""https://docs.google.com/spreadsheets/d/1rd4qoM1q_hsgaolqNGfrim9gbsoLxQsda4-vOz5x_BM/edit?usp=sharing"",""ภูเก็ต!N204"")+IMPORTRANGE(""https://docs.google.com/spreadsheets/d/1woKwKjgoL"&amp;"ssDvPcPeVyezB5izizAn4X1JDrys69n6xI/edit?usp=sharing"",""ยะลา!N204"")+IMPORTRANGE(""https://docs.google.com/spreadsheets/d/1qfrKjzMhm2HJfxQ-qVlJlJQ25Hne1d0khsySbZyGtPA/edit?usp=sharing"",""ระนอง!N204"")+IMPORTRANGE(""https://docs.google.com/spreadsheets/d/"&amp;"1IbSCnFOKpZsnFogBHJnL_isstZVaOMnFiIN0fGTPZZw/edit?usp=sharing"",""สงขลา!N204"")+IMPORTRANGE(""https://docs.google.com/spreadsheets/d/1q9nWasZJ-K8bFGvbE9n0qSRuKGA4Toe3Y89cKCiVtCU/edit?usp=sharing"",""สตูล!N204"")+IMPORTRANGE(""https://docs.google.com/sprea"&amp;"dsheets/d/18T20gbkS_WBjdscyTOV05cvq_JqvqQ17C81mpxf7Ncs/edit?usp=sharing"",""สุราษฎร์ธานี!N204"")"),960)</f>
        <v>960</v>
      </c>
      <c r="O204" s="182"/>
      <c r="P204" s="58"/>
    </row>
    <row r="205" spans="1:16" ht="18.75" x14ac:dyDescent="0.25">
      <c r="A205" s="274"/>
      <c r="B205" s="278"/>
      <c r="C205" s="53"/>
      <c r="D205" s="293" t="s">
        <v>81</v>
      </c>
      <c r="E205" s="53"/>
      <c r="F205" s="53"/>
      <c r="G205" s="55"/>
      <c r="H205" s="56" t="s">
        <v>12</v>
      </c>
      <c r="I205" s="57"/>
      <c r="J205" s="57"/>
      <c r="K205" s="58"/>
      <c r="L205" s="61">
        <v>0</v>
      </c>
      <c r="M205" s="58"/>
      <c r="N205" s="61">
        <v>0</v>
      </c>
      <c r="O205" s="182"/>
      <c r="P205" s="58"/>
    </row>
    <row r="206" spans="1:16" ht="18.75" x14ac:dyDescent="0.25">
      <c r="A206" s="274"/>
      <c r="B206" s="278"/>
      <c r="C206" s="53"/>
      <c r="D206" s="293" t="s">
        <v>82</v>
      </c>
      <c r="E206" s="53"/>
      <c r="F206" s="53"/>
      <c r="G206" s="55"/>
      <c r="H206" s="56" t="s">
        <v>12</v>
      </c>
      <c r="I206" s="57"/>
      <c r="J206" s="57"/>
      <c r="K206" s="58"/>
      <c r="L206" s="59">
        <f ca="1">IFERROR(__xludf.DUMMYFUNCTION("IMPORTRANGE(""https://docs.google.com/spreadsheets/d/1kKUcYdkIfrgTSj8iHHHB2MD2FAtwyyocFgqGQn6ADyI/edit?usp=sharing"",""กระบี่!L206"")+IMPORTRANGE(""https://docs.google.com/spreadsheets/d/1GwtLaSlNZkLk7iDqcyZz22giiy40b_usZZBXYciEN1U/edit?usp=sharing"",""ชุ"&amp;"มพร!L206"")+IMPORTRANGE(""https://docs.google.com/spreadsheets/d/16pAz3pOhQEZBhvFNMa5KGgZS6iKWpsKX0pg6tQmwFpo/edit?usp=sharing"",""ตรัง!L206"")+IMPORTRANGE(""https://docs.google.com/spreadsheets/d/1Dj4jcHCTV9JXKCaMoheSXS52JE63kDKyG7bPXnFogHk/edit?usp=shar"&amp;"ing"",""นครศรีธรรมราช!L206"")+IMPORTRANGE(""https://docs.google.com/spreadsheets/d/1iodCdmuK2GR3jzUwk8tpccY2JHQQA-87DLOtJP-ooyU/edit?usp=sharing"",""นราธิวาส!L206"")+IMPORTRANGE(""https://docs.google.com/spreadsheets/d/1SDNX3JhDdYRuIOsj0Wh2M-Qa_eaXl0NbWmh"&amp;"AOTbfQAs/edit?usp=sharing"",""ปัตตานี!L206"")+IMPORTRANGE(""https://docs.google.com/spreadsheets/d/16JDLGguT8s5DsGCND1KcwHP_AWR_zDMTqLHPLJUKhaU/edit?usp=sharing"",""พังงา!L206"")+IMPORTRANGE(""https://docs.google.com/spreadsheets/d/17ht0gPKzzT3PObBL1XJkeR"&amp;"mntBXI7wGjpLV7QorqlTk/edit?usp=sharing"",""พัทลุง!L206"")+IMPORTRANGE(""https://docs.google.com/spreadsheets/d/1rd4qoM1q_hsgaolqNGfrim9gbsoLxQsda4-vOz5x_BM/edit?usp=sharing"",""ภูเก็ต!L206"")+IMPORTRANGE(""https://docs.google.com/spreadsheets/d/1woKwKjgoL"&amp;"ssDvPcPeVyezB5izizAn4X1JDrys69n6xI/edit?usp=sharing"",""ยะลา!L206"")+IMPORTRANGE(""https://docs.google.com/spreadsheets/d/1qfrKjzMhm2HJfxQ-qVlJlJQ25Hne1d0khsySbZyGtPA/edit?usp=sharing"",""ระนอง!L206"")+IMPORTRANGE(""https://docs.google.com/spreadsheets/d/"&amp;"1IbSCnFOKpZsnFogBHJnL_isstZVaOMnFiIN0fGTPZZw/edit?usp=sharing"",""สงขลา!L206"")+IMPORTRANGE(""https://docs.google.com/spreadsheets/d/1q9nWasZJ-K8bFGvbE9n0qSRuKGA4Toe3Y89cKCiVtCU/edit?usp=sharing"",""สตูล!L206"")+IMPORTRANGE(""https://docs.google.com/sprea"&amp;"dsheets/d/18T20gbkS_WBjdscyTOV05cvq_JqvqQ17C81mpxf7Ncs/edit?usp=sharing"",""สุราษฎร์ธานี!L206"")"),176000)</f>
        <v>176000</v>
      </c>
      <c r="M206" s="58"/>
      <c r="N206" s="59">
        <f ca="1">IFERROR(__xludf.DUMMYFUNCTION("IMPORTRANGE(""https://docs.google.com/spreadsheets/d/1kKUcYdkIfrgTSj8iHHHB2MD2FAtwyyocFgqGQn6ADyI/edit?usp=sharing"",""กระบี่!N206"")+IMPORTRANGE(""https://docs.google.com/spreadsheets/d/1GwtLaSlNZkLk7iDqcyZz22giiy40b_usZZBXYciEN1U/edit?usp=sharing"",""ชุ"&amp;"มพร!N206"")+IMPORTRANGE(""https://docs.google.com/spreadsheets/d/16pAz3pOhQEZBhvFNMa5KGgZS6iKWpsKX0pg6tQmwFpo/edit?usp=sharing"",""ตรัง!N206"")+IMPORTRANGE(""https://docs.google.com/spreadsheets/d/1Dj4jcHCTV9JXKCaMoheSXS52JE63kDKyG7bPXnFogHk/edit?usp=shar"&amp;"ing"",""นครศรีธรรมราช!N206"")+IMPORTRANGE(""https://docs.google.com/spreadsheets/d/1iodCdmuK2GR3jzUwk8tpccY2JHQQA-87DLOtJP-ooyU/edit?usp=sharing"",""นราธิวาส!N206"")+IMPORTRANGE(""https://docs.google.com/spreadsheets/d/1SDNX3JhDdYRuIOsj0Wh2M-Qa_eaXl0NbWmh"&amp;"AOTbfQAs/edit?usp=sharing"",""ปัตตานี!N206"")+IMPORTRANGE(""https://docs.google.com/spreadsheets/d/16JDLGguT8s5DsGCND1KcwHP_AWR_zDMTqLHPLJUKhaU/edit?usp=sharing"",""พังงา!N206"")+IMPORTRANGE(""https://docs.google.com/spreadsheets/d/17ht0gPKzzT3PObBL1XJkeR"&amp;"mntBXI7wGjpLV7QorqlTk/edit?usp=sharing"",""พัทลุง!N206"")+IMPORTRANGE(""https://docs.google.com/spreadsheets/d/1rd4qoM1q_hsgaolqNGfrim9gbsoLxQsda4-vOz5x_BM/edit?usp=sharing"",""ภูเก็ต!N206"")+IMPORTRANGE(""https://docs.google.com/spreadsheets/d/1woKwKjgoL"&amp;"ssDvPcPeVyezB5izizAn4X1JDrys69n6xI/edit?usp=sharing"",""ยะลา!N206"")+IMPORTRANGE(""https://docs.google.com/spreadsheets/d/1qfrKjzMhm2HJfxQ-qVlJlJQ25Hne1d0khsySbZyGtPA/edit?usp=sharing"",""ระนอง!N206"")+IMPORTRANGE(""https://docs.google.com/spreadsheets/d/"&amp;"1IbSCnFOKpZsnFogBHJnL_isstZVaOMnFiIN0fGTPZZw/edit?usp=sharing"",""สงขลา!N206"")+IMPORTRANGE(""https://docs.google.com/spreadsheets/d/1q9nWasZJ-K8bFGvbE9n0qSRuKGA4Toe3Y89cKCiVtCU/edit?usp=sharing"",""สตูล!N206"")+IMPORTRANGE(""https://docs.google.com/sprea"&amp;"dsheets/d/18T20gbkS_WBjdscyTOV05cvq_JqvqQ17C81mpxf7Ncs/edit?usp=sharing"",""สุราษฎร์ธานี!N206"")"),8000)</f>
        <v>8000</v>
      </c>
      <c r="O206" s="182"/>
      <c r="P206" s="58"/>
    </row>
    <row r="207" spans="1:16" ht="18.75" x14ac:dyDescent="0.25">
      <c r="A207" s="274"/>
      <c r="B207" s="278"/>
      <c r="C207" s="53"/>
      <c r="D207" s="293" t="s">
        <v>83</v>
      </c>
      <c r="E207" s="53"/>
      <c r="F207" s="53"/>
      <c r="G207" s="55"/>
      <c r="H207" s="56" t="s">
        <v>12</v>
      </c>
      <c r="I207" s="57"/>
      <c r="J207" s="57"/>
      <c r="K207" s="58"/>
      <c r="L207" s="59">
        <f ca="1">IFERROR(__xludf.DUMMYFUNCTION("IMPORTRANGE(""https://docs.google.com/spreadsheets/d/1kKUcYdkIfrgTSj8iHHHB2MD2FAtwyyocFgqGQn6ADyI/edit?usp=sharing"",""กระบี่!L207"")+IMPORTRANGE(""https://docs.google.com/spreadsheets/d/1GwtLaSlNZkLk7iDqcyZz22giiy40b_usZZBXYciEN1U/edit?usp=sharing"",""ชุ"&amp;"มพร!L207"")+IMPORTRANGE(""https://docs.google.com/spreadsheets/d/16pAz3pOhQEZBhvFNMa5KGgZS6iKWpsKX0pg6tQmwFpo/edit?usp=sharing"",""ตรัง!L207"")+IMPORTRANGE(""https://docs.google.com/spreadsheets/d/1Dj4jcHCTV9JXKCaMoheSXS52JE63kDKyG7bPXnFogHk/edit?usp=shar"&amp;"ing"",""นครศรีธรรมราช!L207"")+IMPORTRANGE(""https://docs.google.com/spreadsheets/d/1iodCdmuK2GR3jzUwk8tpccY2JHQQA-87DLOtJP-ooyU/edit?usp=sharing"",""นราธิวาส!L207"")+IMPORTRANGE(""https://docs.google.com/spreadsheets/d/1SDNX3JhDdYRuIOsj0Wh2M-Qa_eaXl0NbWmh"&amp;"AOTbfQAs/edit?usp=sharing"",""ปัตตานี!L207"")+IMPORTRANGE(""https://docs.google.com/spreadsheets/d/16JDLGguT8s5DsGCND1KcwHP_AWR_zDMTqLHPLJUKhaU/edit?usp=sharing"",""พังงา!L207"")+IMPORTRANGE(""https://docs.google.com/spreadsheets/d/17ht0gPKzzT3PObBL1XJkeR"&amp;"mntBXI7wGjpLV7QorqlTk/edit?usp=sharing"",""พัทลุง!L207"")+IMPORTRANGE(""https://docs.google.com/spreadsheets/d/1rd4qoM1q_hsgaolqNGfrim9gbsoLxQsda4-vOz5x_BM/edit?usp=sharing"",""ภูเก็ต!L207"")+IMPORTRANGE(""https://docs.google.com/spreadsheets/d/1woKwKjgoL"&amp;"ssDvPcPeVyezB5izizAn4X1JDrys69n6xI/edit?usp=sharing"",""ยะลา!L207"")+IMPORTRANGE(""https://docs.google.com/spreadsheets/d/1qfrKjzMhm2HJfxQ-qVlJlJQ25Hne1d0khsySbZyGtPA/edit?usp=sharing"",""ระนอง!L207"")+IMPORTRANGE(""https://docs.google.com/spreadsheets/d/"&amp;"1IbSCnFOKpZsnFogBHJnL_isstZVaOMnFiIN0fGTPZZw/edit?usp=sharing"",""สงขลา!L207"")+IMPORTRANGE(""https://docs.google.com/spreadsheets/d/1q9nWasZJ-K8bFGvbE9n0qSRuKGA4Toe3Y89cKCiVtCU/edit?usp=sharing"",""สตูล!L207"")+IMPORTRANGE(""https://docs.google.com/sprea"&amp;"dsheets/d/18T20gbkS_WBjdscyTOV05cvq_JqvqQ17C81mpxf7Ncs/edit?usp=sharing"",""สุราษฎร์ธานี!L207"")"),106000)</f>
        <v>106000</v>
      </c>
      <c r="M207" s="58"/>
      <c r="N207" s="59">
        <f ca="1">IFERROR(__xludf.DUMMYFUNCTION("IMPORTRANGE(""https://docs.google.com/spreadsheets/d/1kKUcYdkIfrgTSj8iHHHB2MD2FAtwyyocFgqGQn6ADyI/edit?usp=sharing"",""กระบี่!N207"")+IMPORTRANGE(""https://docs.google.com/spreadsheets/d/1GwtLaSlNZkLk7iDqcyZz22giiy40b_usZZBXYciEN1U/edit?usp=sharing"",""ชุ"&amp;"มพร!N207"")+IMPORTRANGE(""https://docs.google.com/spreadsheets/d/16pAz3pOhQEZBhvFNMa5KGgZS6iKWpsKX0pg6tQmwFpo/edit?usp=sharing"",""ตรัง!N207"")+IMPORTRANGE(""https://docs.google.com/spreadsheets/d/1Dj4jcHCTV9JXKCaMoheSXS52JE63kDKyG7bPXnFogHk/edit?usp=shar"&amp;"ing"",""นครศรีธรรมราช!N207"")+IMPORTRANGE(""https://docs.google.com/spreadsheets/d/1iodCdmuK2GR3jzUwk8tpccY2JHQQA-87DLOtJP-ooyU/edit?usp=sharing"",""นราธิวาส!N207"")+IMPORTRANGE(""https://docs.google.com/spreadsheets/d/1SDNX3JhDdYRuIOsj0Wh2M-Qa_eaXl0NbWmh"&amp;"AOTbfQAs/edit?usp=sharing"",""ปัตตานี!N207"")+IMPORTRANGE(""https://docs.google.com/spreadsheets/d/16JDLGguT8s5DsGCND1KcwHP_AWR_zDMTqLHPLJUKhaU/edit?usp=sharing"",""พังงา!N207"")+IMPORTRANGE(""https://docs.google.com/spreadsheets/d/17ht0gPKzzT3PObBL1XJkeR"&amp;"mntBXI7wGjpLV7QorqlTk/edit?usp=sharing"",""พัทลุง!N207"")+IMPORTRANGE(""https://docs.google.com/spreadsheets/d/1rd4qoM1q_hsgaolqNGfrim9gbsoLxQsda4-vOz5x_BM/edit?usp=sharing"",""ภูเก็ต!N207"")+IMPORTRANGE(""https://docs.google.com/spreadsheets/d/1woKwKjgoL"&amp;"ssDvPcPeVyezB5izizAn4X1JDrys69n6xI/edit?usp=sharing"",""ยะลา!N207"")+IMPORTRANGE(""https://docs.google.com/spreadsheets/d/1qfrKjzMhm2HJfxQ-qVlJlJQ25Hne1d0khsySbZyGtPA/edit?usp=sharing"",""ระนอง!N207"")+IMPORTRANGE(""https://docs.google.com/spreadsheets/d/"&amp;"1IbSCnFOKpZsnFogBHJnL_isstZVaOMnFiIN0fGTPZZw/edit?usp=sharing"",""สงขลา!N207"")+IMPORTRANGE(""https://docs.google.com/spreadsheets/d/1q9nWasZJ-K8bFGvbE9n0qSRuKGA4Toe3Y89cKCiVtCU/edit?usp=sharing"",""สตูล!N207"")+IMPORTRANGE(""https://docs.google.com/sprea"&amp;"dsheets/d/18T20gbkS_WBjdscyTOV05cvq_JqvqQ17C81mpxf7Ncs/edit?usp=sharing"",""สุราษฎร์ธานี!N207"")"),0)</f>
        <v>0</v>
      </c>
      <c r="O207" s="182"/>
      <c r="P207" s="58"/>
    </row>
    <row r="208" spans="1:16" ht="19.5" x14ac:dyDescent="0.3">
      <c r="A208" s="167"/>
      <c r="B208" s="168"/>
      <c r="C208" s="158" t="s">
        <v>16</v>
      </c>
      <c r="D208" s="169" t="s">
        <v>36</v>
      </c>
      <c r="E208" s="170"/>
      <c r="F208" s="170"/>
      <c r="G208" s="171"/>
      <c r="H208" s="172"/>
      <c r="I208" s="164"/>
      <c r="J208" s="164"/>
      <c r="K208" s="165"/>
      <c r="L208" s="165"/>
      <c r="M208" s="165"/>
      <c r="N208" s="165"/>
      <c r="O208" s="165"/>
      <c r="P208" s="165"/>
    </row>
    <row r="209" spans="1:16" ht="18.75" x14ac:dyDescent="0.25">
      <c r="A209" s="167"/>
      <c r="B209" s="168"/>
      <c r="C209" s="168"/>
      <c r="D209" s="173" t="s">
        <v>84</v>
      </c>
      <c r="E209" s="174"/>
      <c r="F209" s="174"/>
      <c r="G209" s="172"/>
      <c r="H209" s="294" t="s">
        <v>79</v>
      </c>
      <c r="I209" s="194">
        <f ca="1">IFERROR(__xludf.DUMMYFUNCTION("IMPORTRANGE(""https://docs.google.com/spreadsheets/d/1kKUcYdkIfrgTSj8iHHHB2MD2FAtwyyocFgqGQn6ADyI/edit?usp=sharing"",""กระบี่!I209"")+IMPORTRANGE(""https://docs.google.com/spreadsheets/d/1GwtLaSlNZkLk7iDqcyZz22giiy40b_usZZBXYciEN1U/edit?usp=sharing"",""ชุ"&amp;"มพร!I209"")+IMPORTRANGE(""https://docs.google.com/spreadsheets/d/16pAz3pOhQEZBhvFNMa5KGgZS6iKWpsKX0pg6tQmwFpo/edit?usp=sharing"",""ตรัง!I209"")+IMPORTRANGE(""https://docs.google.com/spreadsheets/d/1Dj4jcHCTV9JXKCaMoheSXS52JE63kDKyG7bPXnFogHk/edit?usp=shar"&amp;"ing"",""นครศรีธรรมราช!I209"")+IMPORTRANGE(""https://docs.google.com/spreadsheets/d/1iodCdmuK2GR3jzUwk8tpccY2JHQQA-87DLOtJP-ooyU/edit?usp=sharing"",""นราธิวาส!I209"")+IMPORTRANGE(""https://docs.google.com/spreadsheets/d/1SDNX3JhDdYRuIOsj0Wh2M-Qa_eaXl0NbWmh"&amp;"AOTbfQAs/edit?usp=sharing"",""ปัตตานี!I209"")+IMPORTRANGE(""https://docs.google.com/spreadsheets/d/16JDLGguT8s5DsGCND1KcwHP_AWR_zDMTqLHPLJUKhaU/edit?usp=sharing"",""พังงา!I209"")+IMPORTRANGE(""https://docs.google.com/spreadsheets/d/17ht0gPKzzT3PObBL1XJkeR"&amp;"mntBXI7wGjpLV7QorqlTk/edit?usp=sharing"",""พัทลุง!I209"")+IMPORTRANGE(""https://docs.google.com/spreadsheets/d/1rd4qoM1q_hsgaolqNGfrim9gbsoLxQsda4-vOz5x_BM/edit?usp=sharing"",""ภูเก็ต!I209"")+IMPORTRANGE(""https://docs.google.com/spreadsheets/d/1woKwKjgoL"&amp;"ssDvPcPeVyezB5izizAn4X1JDrys69n6xI/edit?usp=sharing"",""ยะลา!I209"")+IMPORTRANGE(""https://docs.google.com/spreadsheets/d/1qfrKjzMhm2HJfxQ-qVlJlJQ25Hne1d0khsySbZyGtPA/edit?usp=sharing"",""ระนอง!I209"")+IMPORTRANGE(""https://docs.google.com/spreadsheets/d/"&amp;"1IbSCnFOKpZsnFogBHJnL_isstZVaOMnFiIN0fGTPZZw/edit?usp=sharing"",""สงขลา!I209"")+IMPORTRANGE(""https://docs.google.com/spreadsheets/d/1q9nWasZJ-K8bFGvbE9n0qSRuKGA4Toe3Y89cKCiVtCU/edit?usp=sharing"",""สตูล!I209"")+IMPORTRANGE(""https://docs.google.com/sprea"&amp;"dsheets/d/18T20gbkS_WBjdscyTOV05cvq_JqvqQ17C81mpxf7Ncs/edit?usp=sharing"",""สุราษฎร์ธานี!I209"")"),22)</f>
        <v>22</v>
      </c>
      <c r="J209" s="194">
        <f ca="1">IFERROR(__xludf.DUMMYFUNCTION("IMPORTRANGE(""https://docs.google.com/spreadsheets/d/1kKUcYdkIfrgTSj8iHHHB2MD2FAtwyyocFgqGQn6ADyI/edit?usp=sharing"",""กระบี่!J209"")+IMPORTRANGE(""https://docs.google.com/spreadsheets/d/1GwtLaSlNZkLk7iDqcyZz22giiy40b_usZZBXYciEN1U/edit?usp=sharing"",""ชุ"&amp;"มพร!J209"")+IMPORTRANGE(""https://docs.google.com/spreadsheets/d/16pAz3pOhQEZBhvFNMa5KGgZS6iKWpsKX0pg6tQmwFpo/edit?usp=sharing"",""ตรัง!J209"")+IMPORTRANGE(""https://docs.google.com/spreadsheets/d/1Dj4jcHCTV9JXKCaMoheSXS52JE63kDKyG7bPXnFogHk/edit?usp=shar"&amp;"ing"",""นครศรีธรรมราช!J209"")+IMPORTRANGE(""https://docs.google.com/spreadsheets/d/1iodCdmuK2GR3jzUwk8tpccY2JHQQA-87DLOtJP-ooyU/edit?usp=sharing"",""นราธิวาส!J209"")+IMPORTRANGE(""https://docs.google.com/spreadsheets/d/1SDNX3JhDdYRuIOsj0Wh2M-Qa_eaXl0NbWmh"&amp;"AOTbfQAs/edit?usp=sharing"",""ปัตตานี!J209"")+IMPORTRANGE(""https://docs.google.com/spreadsheets/d/16JDLGguT8s5DsGCND1KcwHP_AWR_zDMTqLHPLJUKhaU/edit?usp=sharing"",""พังงา!J209"")+IMPORTRANGE(""https://docs.google.com/spreadsheets/d/17ht0gPKzzT3PObBL1XJkeR"&amp;"mntBXI7wGjpLV7QorqlTk/edit?usp=sharing"",""พัทลุง!J209"")+IMPORTRANGE(""https://docs.google.com/spreadsheets/d/1rd4qoM1q_hsgaolqNGfrim9gbsoLxQsda4-vOz5x_BM/edit?usp=sharing"",""ภูเก็ต!J209"")+IMPORTRANGE(""https://docs.google.com/spreadsheets/d/1woKwKjgoL"&amp;"ssDvPcPeVyezB5izizAn4X1JDrys69n6xI/edit?usp=sharing"",""ยะลา!J209"")+IMPORTRANGE(""https://docs.google.com/spreadsheets/d/1qfrKjzMhm2HJfxQ-qVlJlJQ25Hne1d0khsySbZyGtPA/edit?usp=sharing"",""ระนอง!J209"")+IMPORTRANGE(""https://docs.google.com/spreadsheets/d/"&amp;"1IbSCnFOKpZsnFogBHJnL_isstZVaOMnFiIN0fGTPZZw/edit?usp=sharing"",""สงขลา!J209"")+IMPORTRANGE(""https://docs.google.com/spreadsheets/d/1q9nWasZJ-K8bFGvbE9n0qSRuKGA4Toe3Y89cKCiVtCU/edit?usp=sharing"",""สตูล!J209"")+IMPORTRANGE(""https://docs.google.com/sprea"&amp;"dsheets/d/18T20gbkS_WBjdscyTOV05cvq_JqvqQ17C81mpxf7Ncs/edit?usp=sharing"",""สุราษฎร์ธานี!J209"")"),1)</f>
        <v>1</v>
      </c>
      <c r="K209" s="182">
        <f ca="1">IF(I209&gt;0,J209*100/I209,0)</f>
        <v>4.5454545454545459</v>
      </c>
      <c r="L209" s="58"/>
      <c r="M209" s="58"/>
      <c r="N209" s="58"/>
      <c r="O209" s="58"/>
      <c r="P209" s="58"/>
    </row>
    <row r="210" spans="1:16" ht="18.75" x14ac:dyDescent="0.25">
      <c r="A210" s="167"/>
      <c r="B210" s="168"/>
      <c r="C210" s="168"/>
      <c r="D210" s="193" t="s">
        <v>48</v>
      </c>
      <c r="E210" s="174"/>
      <c r="F210" s="174"/>
      <c r="G210" s="172"/>
      <c r="H210" s="172"/>
      <c r="I210" s="57"/>
      <c r="J210" s="57"/>
      <c r="K210" s="165"/>
      <c r="L210" s="58"/>
      <c r="M210" s="58"/>
      <c r="N210" s="58"/>
      <c r="O210" s="58"/>
      <c r="P210" s="58"/>
    </row>
    <row r="211" spans="1:16" ht="18.75" x14ac:dyDescent="0.25">
      <c r="A211" s="167"/>
      <c r="B211" s="168"/>
      <c r="C211" s="168"/>
      <c r="D211" s="174"/>
      <c r="E211" s="193" t="s">
        <v>85</v>
      </c>
      <c r="F211" s="174"/>
      <c r="G211" s="172"/>
      <c r="H211" s="294" t="s">
        <v>79</v>
      </c>
      <c r="I211" s="181">
        <v>0</v>
      </c>
      <c r="J211" s="181">
        <f ca="1">IFERROR(__xludf.DUMMYFUNCTION("IMPORTRANGE(""https://docs.google.com/spreadsheets/d/1kKUcYdkIfrgTSj8iHHHB2MD2FAtwyyocFgqGQn6ADyI/edit?usp=sharing"",""กระบี่!J211"")+IMPORTRANGE(""https://docs.google.com/spreadsheets/d/1GwtLaSlNZkLk7iDqcyZz22giiy40b_usZZBXYciEN1U/edit?usp=sharing"",""ชุ"&amp;"มพร!J211"")+IMPORTRANGE(""https://docs.google.com/spreadsheets/d/16pAz3pOhQEZBhvFNMa5KGgZS6iKWpsKX0pg6tQmwFpo/edit?usp=sharing"",""ตรัง!J211"")+IMPORTRANGE(""https://docs.google.com/spreadsheets/d/1Dj4jcHCTV9JXKCaMoheSXS52JE63kDKyG7bPXnFogHk/edit?usp=shar"&amp;"ing"",""นครศรีธรรมราช!J211"")+IMPORTRANGE(""https://docs.google.com/spreadsheets/d/1iodCdmuK2GR3jzUwk8tpccY2JHQQA-87DLOtJP-ooyU/edit?usp=sharing"",""นราธิวาส!J211"")+IMPORTRANGE(""https://docs.google.com/spreadsheets/d/1SDNX3JhDdYRuIOsj0Wh2M-Qa_eaXl0NbWmh"&amp;"AOTbfQAs/edit?usp=sharing"",""ปัตตานี!J211"")+IMPORTRANGE(""https://docs.google.com/spreadsheets/d/16JDLGguT8s5DsGCND1KcwHP_AWR_zDMTqLHPLJUKhaU/edit?usp=sharing"",""พังงา!J211"")+IMPORTRANGE(""https://docs.google.com/spreadsheets/d/17ht0gPKzzT3PObBL1XJkeR"&amp;"mntBXI7wGjpLV7QorqlTk/edit?usp=sharing"",""พัทลุง!J211"")+IMPORTRANGE(""https://docs.google.com/spreadsheets/d/1rd4qoM1q_hsgaolqNGfrim9gbsoLxQsda4-vOz5x_BM/edit?usp=sharing"",""ภูเก็ต!J211"")+IMPORTRANGE(""https://docs.google.com/spreadsheets/d/1woKwKjgoL"&amp;"ssDvPcPeVyezB5izizAn4X1JDrys69n6xI/edit?usp=sharing"",""ยะลา!J211"")+IMPORTRANGE(""https://docs.google.com/spreadsheets/d/1qfrKjzMhm2HJfxQ-qVlJlJQ25Hne1d0khsySbZyGtPA/edit?usp=sharing"",""ระนอง!J211"")+IMPORTRANGE(""https://docs.google.com/spreadsheets/d/"&amp;"1IbSCnFOKpZsnFogBHJnL_isstZVaOMnFiIN0fGTPZZw/edit?usp=sharing"",""สงขลา!J211"")+IMPORTRANGE(""https://docs.google.com/spreadsheets/d/1q9nWasZJ-K8bFGvbE9n0qSRuKGA4Toe3Y89cKCiVtCU/edit?usp=sharing"",""สตูล!J211"")+IMPORTRANGE(""https://docs.google.com/sprea"&amp;"dsheets/d/18T20gbkS_WBjdscyTOV05cvq_JqvqQ17C81mpxf7Ncs/edit?usp=sharing"",""สุราษฎร์ธานี!J211"")"),0)</f>
        <v>0</v>
      </c>
      <c r="K211" s="182">
        <f t="shared" ref="K211:K213" si="101">IF(I211&gt;0,J211*100/I211,0)</f>
        <v>0</v>
      </c>
      <c r="L211" s="58"/>
      <c r="M211" s="58"/>
      <c r="N211" s="58"/>
      <c r="O211" s="58"/>
      <c r="P211" s="58"/>
    </row>
    <row r="212" spans="1:16" ht="18.75" x14ac:dyDescent="0.25">
      <c r="A212" s="167"/>
      <c r="B212" s="168"/>
      <c r="C212" s="168"/>
      <c r="D212" s="174"/>
      <c r="E212" s="193" t="s">
        <v>86</v>
      </c>
      <c r="F212" s="174"/>
      <c r="G212" s="174"/>
      <c r="H212" s="295" t="s">
        <v>87</v>
      </c>
      <c r="I212" s="181">
        <v>0</v>
      </c>
      <c r="J212" s="181">
        <f ca="1">IFERROR(__xludf.DUMMYFUNCTION("IMPORTRANGE(""https://docs.google.com/spreadsheets/d/1kKUcYdkIfrgTSj8iHHHB2MD2FAtwyyocFgqGQn6ADyI/edit?usp=sharing"",""กระบี่!J212"")+IMPORTRANGE(""https://docs.google.com/spreadsheets/d/1GwtLaSlNZkLk7iDqcyZz22giiy40b_usZZBXYciEN1U/edit?usp=sharing"",""ชุ"&amp;"มพร!J212"")+IMPORTRANGE(""https://docs.google.com/spreadsheets/d/16pAz3pOhQEZBhvFNMa5KGgZS6iKWpsKX0pg6tQmwFpo/edit?usp=sharing"",""ตรัง!J212"")+IMPORTRANGE(""https://docs.google.com/spreadsheets/d/1Dj4jcHCTV9JXKCaMoheSXS52JE63kDKyG7bPXnFogHk/edit?usp=shar"&amp;"ing"",""นครศรีธรรมราช!J212"")+IMPORTRANGE(""https://docs.google.com/spreadsheets/d/1iodCdmuK2GR3jzUwk8tpccY2JHQQA-87DLOtJP-ooyU/edit?usp=sharing"",""นราธิวาส!J212"")+IMPORTRANGE(""https://docs.google.com/spreadsheets/d/1SDNX3JhDdYRuIOsj0Wh2M-Qa_eaXl0NbWmh"&amp;"AOTbfQAs/edit?usp=sharing"",""ปัตตานี!J212"")+IMPORTRANGE(""https://docs.google.com/spreadsheets/d/16JDLGguT8s5DsGCND1KcwHP_AWR_zDMTqLHPLJUKhaU/edit?usp=sharing"",""พังงา!J212"")+IMPORTRANGE(""https://docs.google.com/spreadsheets/d/17ht0gPKzzT3PObBL1XJkeR"&amp;"mntBXI7wGjpLV7QorqlTk/edit?usp=sharing"",""พัทลุง!J212"")+IMPORTRANGE(""https://docs.google.com/spreadsheets/d/1rd4qoM1q_hsgaolqNGfrim9gbsoLxQsda4-vOz5x_BM/edit?usp=sharing"",""ภูเก็ต!J212"")+IMPORTRANGE(""https://docs.google.com/spreadsheets/d/1woKwKjgoL"&amp;"ssDvPcPeVyezB5izizAn4X1JDrys69n6xI/edit?usp=sharing"",""ยะลา!J212"")+IMPORTRANGE(""https://docs.google.com/spreadsheets/d/1qfrKjzMhm2HJfxQ-qVlJlJQ25Hne1d0khsySbZyGtPA/edit?usp=sharing"",""ระนอง!J212"")+IMPORTRANGE(""https://docs.google.com/spreadsheets/d/"&amp;"1IbSCnFOKpZsnFogBHJnL_isstZVaOMnFiIN0fGTPZZw/edit?usp=sharing"",""สงขลา!J212"")+IMPORTRANGE(""https://docs.google.com/spreadsheets/d/1q9nWasZJ-K8bFGvbE9n0qSRuKGA4Toe3Y89cKCiVtCU/edit?usp=sharing"",""สตูล!J212"")+IMPORTRANGE(""https://docs.google.com/sprea"&amp;"dsheets/d/18T20gbkS_WBjdscyTOV05cvq_JqvqQ17C81mpxf7Ncs/edit?usp=sharing"",""สุราษฎร์ธานี!J212"")"),0)</f>
        <v>0</v>
      </c>
      <c r="K212" s="182">
        <f t="shared" si="101"/>
        <v>0</v>
      </c>
      <c r="L212" s="58"/>
      <c r="M212" s="58"/>
      <c r="N212" s="58"/>
      <c r="O212" s="58"/>
      <c r="P212" s="58"/>
    </row>
    <row r="213" spans="1:16" ht="19.5" x14ac:dyDescent="0.3">
      <c r="A213" s="279"/>
      <c r="B213" s="280"/>
      <c r="C213" s="281" t="s">
        <v>88</v>
      </c>
      <c r="D213" s="282"/>
      <c r="E213" s="282"/>
      <c r="F213" s="282"/>
      <c r="G213" s="283"/>
      <c r="H213" s="291" t="s">
        <v>79</v>
      </c>
      <c r="I213" s="285">
        <f t="shared" ref="I213:J213" ca="1" si="102">I220</f>
        <v>5</v>
      </c>
      <c r="J213" s="285">
        <f t="shared" ca="1" si="102"/>
        <v>0</v>
      </c>
      <c r="K213" s="286">
        <f t="shared" ca="1" si="101"/>
        <v>0</v>
      </c>
      <c r="L213" s="287"/>
      <c r="M213" s="287"/>
      <c r="N213" s="287"/>
      <c r="O213" s="287"/>
      <c r="P213" s="287"/>
    </row>
    <row r="214" spans="1:16" ht="19.5" x14ac:dyDescent="0.3">
      <c r="A214" s="157"/>
      <c r="B214" s="53"/>
      <c r="C214" s="158" t="s">
        <v>16</v>
      </c>
      <c r="D214" s="288" t="s">
        <v>17</v>
      </c>
      <c r="E214" s="53"/>
      <c r="F214" s="53"/>
      <c r="G214" s="55"/>
      <c r="H214" s="289" t="s">
        <v>12</v>
      </c>
      <c r="I214" s="164"/>
      <c r="J214" s="164"/>
      <c r="K214" s="165"/>
      <c r="L214" s="161">
        <f ca="1">L215+L216+L217</f>
        <v>70000</v>
      </c>
      <c r="M214" s="58"/>
      <c r="N214" s="161">
        <f ca="1">N215+N216+N217</f>
        <v>0</v>
      </c>
      <c r="O214" s="161">
        <f ca="1">IF(L214&gt;0,N214*100/L214,0)</f>
        <v>0</v>
      </c>
      <c r="P214" s="161"/>
    </row>
    <row r="215" spans="1:16" ht="18.75" x14ac:dyDescent="0.25">
      <c r="A215" s="157"/>
      <c r="B215" s="278"/>
      <c r="C215" s="53"/>
      <c r="D215" s="60" t="s">
        <v>80</v>
      </c>
      <c r="E215" s="53"/>
      <c r="F215" s="53"/>
      <c r="G215" s="55"/>
      <c r="H215" s="163" t="s">
        <v>12</v>
      </c>
      <c r="I215" s="164"/>
      <c r="J215" s="164"/>
      <c r="K215" s="165"/>
      <c r="L215" s="59">
        <f ca="1">IFERROR(__xludf.DUMMYFUNCTION("IMPORTRANGE(""https://docs.google.com/spreadsheets/d/1kKUcYdkIfrgTSj8iHHHB2MD2FAtwyyocFgqGQn6ADyI/edit?usp=sharing"",""กระบี่!L215"")+IMPORTRANGE(""https://docs.google.com/spreadsheets/d/1GwtLaSlNZkLk7iDqcyZz22giiy40b_usZZBXYciEN1U/edit?usp=sharing"",""ชุ"&amp;"มพร!L215"")+IMPORTRANGE(""https://docs.google.com/spreadsheets/d/16pAz3pOhQEZBhvFNMa5KGgZS6iKWpsKX0pg6tQmwFpo/edit?usp=sharing"",""ตรัง!L215"")+IMPORTRANGE(""https://docs.google.com/spreadsheets/d/1Dj4jcHCTV9JXKCaMoheSXS52JE63kDKyG7bPXnFogHk/edit?usp=shar"&amp;"ing"",""นครศรีธรรมราช!L215"")+IMPORTRANGE(""https://docs.google.com/spreadsheets/d/1iodCdmuK2GR3jzUwk8tpccY2JHQQA-87DLOtJP-ooyU/edit?usp=sharing"",""นราธิวาส!L215"")+IMPORTRANGE(""https://docs.google.com/spreadsheets/d/1SDNX3JhDdYRuIOsj0Wh2M-Qa_eaXl0NbWmh"&amp;"AOTbfQAs/edit?usp=sharing"",""ปัตตานี!L215"")+IMPORTRANGE(""https://docs.google.com/spreadsheets/d/16JDLGguT8s5DsGCND1KcwHP_AWR_zDMTqLHPLJUKhaU/edit?usp=sharing"",""พังงา!L215"")+IMPORTRANGE(""https://docs.google.com/spreadsheets/d/17ht0gPKzzT3PObBL1XJkeR"&amp;"mntBXI7wGjpLV7QorqlTk/edit?usp=sharing"",""พัทลุง!L215"")+IMPORTRANGE(""https://docs.google.com/spreadsheets/d/1rd4qoM1q_hsgaolqNGfrim9gbsoLxQsda4-vOz5x_BM/edit?usp=sharing"",""ภูเก็ต!L215"")+IMPORTRANGE(""https://docs.google.com/spreadsheets/d/1woKwKjgoL"&amp;"ssDvPcPeVyezB5izizAn4X1JDrys69n6xI/edit?usp=sharing"",""ยะลา!L215"")+IMPORTRANGE(""https://docs.google.com/spreadsheets/d/1qfrKjzMhm2HJfxQ-qVlJlJQ25Hne1d0khsySbZyGtPA/edit?usp=sharing"",""ระนอง!L215"")+IMPORTRANGE(""https://docs.google.com/spreadsheets/d/"&amp;"1IbSCnFOKpZsnFogBHJnL_isstZVaOMnFiIN0fGTPZZw/edit?usp=sharing"",""สงขลา!L215"")+IMPORTRANGE(""https://docs.google.com/spreadsheets/d/1q9nWasZJ-K8bFGvbE9n0qSRuKGA4Toe3Y89cKCiVtCU/edit?usp=sharing"",""สตูล!L215"")+IMPORTRANGE(""https://docs.google.com/sprea"&amp;"dsheets/d/18T20gbkS_WBjdscyTOV05cvq_JqvqQ17C81mpxf7Ncs/edit?usp=sharing"",""สุราษฎร์ธานี!L215"")"),5000)</f>
        <v>5000</v>
      </c>
      <c r="M215" s="58"/>
      <c r="N215" s="59">
        <f ca="1">IFERROR(__xludf.DUMMYFUNCTION("IMPORTRANGE(""https://docs.google.com/spreadsheets/d/1kKUcYdkIfrgTSj8iHHHB2MD2FAtwyyocFgqGQn6ADyI/edit?usp=sharing"",""กระบี่!N215"")+IMPORTRANGE(""https://docs.google.com/spreadsheets/d/1GwtLaSlNZkLk7iDqcyZz22giiy40b_usZZBXYciEN1U/edit?usp=sharing"",""ชุ"&amp;"มพร!N215"")+IMPORTRANGE(""https://docs.google.com/spreadsheets/d/16pAz3pOhQEZBhvFNMa5KGgZS6iKWpsKX0pg6tQmwFpo/edit?usp=sharing"",""ตรัง!N215"")+IMPORTRANGE(""https://docs.google.com/spreadsheets/d/1Dj4jcHCTV9JXKCaMoheSXS52JE63kDKyG7bPXnFogHk/edit?usp=shar"&amp;"ing"",""นครศรีธรรมราช!N215"")+IMPORTRANGE(""https://docs.google.com/spreadsheets/d/1iodCdmuK2GR3jzUwk8tpccY2JHQQA-87DLOtJP-ooyU/edit?usp=sharing"",""นราธิวาส!N215"")+IMPORTRANGE(""https://docs.google.com/spreadsheets/d/1SDNX3JhDdYRuIOsj0Wh2M-Qa_eaXl0NbWmh"&amp;"AOTbfQAs/edit?usp=sharing"",""ปัตตานี!N215"")+IMPORTRANGE(""https://docs.google.com/spreadsheets/d/16JDLGguT8s5DsGCND1KcwHP_AWR_zDMTqLHPLJUKhaU/edit?usp=sharing"",""พังงา!N215"")+IMPORTRANGE(""https://docs.google.com/spreadsheets/d/17ht0gPKzzT3PObBL1XJkeR"&amp;"mntBXI7wGjpLV7QorqlTk/edit?usp=sharing"",""พัทลุง!N215"")+IMPORTRANGE(""https://docs.google.com/spreadsheets/d/1rd4qoM1q_hsgaolqNGfrim9gbsoLxQsda4-vOz5x_BM/edit?usp=sharing"",""ภูเก็ต!N215"")+IMPORTRANGE(""https://docs.google.com/spreadsheets/d/1woKwKjgoL"&amp;"ssDvPcPeVyezB5izizAn4X1JDrys69n6xI/edit?usp=sharing"",""ยะลา!N215"")+IMPORTRANGE(""https://docs.google.com/spreadsheets/d/1qfrKjzMhm2HJfxQ-qVlJlJQ25Hne1d0khsySbZyGtPA/edit?usp=sharing"",""ระนอง!N215"")+IMPORTRANGE(""https://docs.google.com/spreadsheets/d/"&amp;"1IbSCnFOKpZsnFogBHJnL_isstZVaOMnFiIN0fGTPZZw/edit?usp=sharing"",""สงขลา!N215"")+IMPORTRANGE(""https://docs.google.com/spreadsheets/d/1q9nWasZJ-K8bFGvbE9n0qSRuKGA4Toe3Y89cKCiVtCU/edit?usp=sharing"",""สตูล!N215"")+IMPORTRANGE(""https://docs.google.com/sprea"&amp;"dsheets/d/18T20gbkS_WBjdscyTOV05cvq_JqvqQ17C81mpxf7Ncs/edit?usp=sharing"",""สุราษฎร์ธานี!N215"")"),0)</f>
        <v>0</v>
      </c>
      <c r="O215" s="182"/>
      <c r="P215" s="58"/>
    </row>
    <row r="216" spans="1:16" ht="18.75" x14ac:dyDescent="0.25">
      <c r="A216" s="274"/>
      <c r="B216" s="278"/>
      <c r="C216" s="278"/>
      <c r="D216" s="60" t="s">
        <v>89</v>
      </c>
      <c r="E216" s="53"/>
      <c r="F216" s="53"/>
      <c r="G216" s="55"/>
      <c r="H216" s="163" t="s">
        <v>12</v>
      </c>
      <c r="I216" s="57"/>
      <c r="J216" s="57"/>
      <c r="K216" s="58"/>
      <c r="L216" s="59">
        <f ca="1">IFERROR(__xludf.DUMMYFUNCTION("IMPORTRANGE(""https://docs.google.com/spreadsheets/d/1kKUcYdkIfrgTSj8iHHHB2MD2FAtwyyocFgqGQn6ADyI/edit?usp=sharing"",""กระบี่!L216"")+IMPORTRANGE(""https://docs.google.com/spreadsheets/d/1GwtLaSlNZkLk7iDqcyZz22giiy40b_usZZBXYciEN1U/edit?usp=sharing"",""ชุ"&amp;"มพร!L216"")+IMPORTRANGE(""https://docs.google.com/spreadsheets/d/16pAz3pOhQEZBhvFNMa5KGgZS6iKWpsKX0pg6tQmwFpo/edit?usp=sharing"",""ตรัง!L216"")+IMPORTRANGE(""https://docs.google.com/spreadsheets/d/1Dj4jcHCTV9JXKCaMoheSXS52JE63kDKyG7bPXnFogHk/edit?usp=shar"&amp;"ing"",""นครศรีธรรมราช!L216"")+IMPORTRANGE(""https://docs.google.com/spreadsheets/d/1iodCdmuK2GR3jzUwk8tpccY2JHQQA-87DLOtJP-ooyU/edit?usp=sharing"",""นราธิวาส!L216"")+IMPORTRANGE(""https://docs.google.com/spreadsheets/d/1SDNX3JhDdYRuIOsj0Wh2M-Qa_eaXl0NbWmh"&amp;"AOTbfQAs/edit?usp=sharing"",""ปัตตานี!L216"")+IMPORTRANGE(""https://docs.google.com/spreadsheets/d/16JDLGguT8s5DsGCND1KcwHP_AWR_zDMTqLHPLJUKhaU/edit?usp=sharing"",""พังงา!L216"")+IMPORTRANGE(""https://docs.google.com/spreadsheets/d/17ht0gPKzzT3PObBL1XJkeR"&amp;"mntBXI7wGjpLV7QorqlTk/edit?usp=sharing"",""พัทลุง!L216"")+IMPORTRANGE(""https://docs.google.com/spreadsheets/d/1rd4qoM1q_hsgaolqNGfrim9gbsoLxQsda4-vOz5x_BM/edit?usp=sharing"",""ภูเก็ต!L216"")+IMPORTRANGE(""https://docs.google.com/spreadsheets/d/1woKwKjgoL"&amp;"ssDvPcPeVyezB5izizAn4X1JDrys69n6xI/edit?usp=sharing"",""ยะลา!L216"")+IMPORTRANGE(""https://docs.google.com/spreadsheets/d/1qfrKjzMhm2HJfxQ-qVlJlJQ25Hne1d0khsySbZyGtPA/edit?usp=sharing"",""ระนอง!L216"")+IMPORTRANGE(""https://docs.google.com/spreadsheets/d/"&amp;"1IbSCnFOKpZsnFogBHJnL_isstZVaOMnFiIN0fGTPZZw/edit?usp=sharing"",""สงขลา!L216"")+IMPORTRANGE(""https://docs.google.com/spreadsheets/d/1q9nWasZJ-K8bFGvbE9n0qSRuKGA4Toe3Y89cKCiVtCU/edit?usp=sharing"",""สตูล!L216"")+IMPORTRANGE(""https://docs.google.com/sprea"&amp;"dsheets/d/18T20gbkS_WBjdscyTOV05cvq_JqvqQ17C81mpxf7Ncs/edit?usp=sharing"",""สุราษฎร์ธานี!L216"")"),25000)</f>
        <v>25000</v>
      </c>
      <c r="M216" s="58"/>
      <c r="N216" s="59">
        <f ca="1">IFERROR(__xludf.DUMMYFUNCTION("IMPORTRANGE(""https://docs.google.com/spreadsheets/d/1kKUcYdkIfrgTSj8iHHHB2MD2FAtwyyocFgqGQn6ADyI/edit?usp=sharing"",""กระบี่!N216"")+IMPORTRANGE(""https://docs.google.com/spreadsheets/d/1GwtLaSlNZkLk7iDqcyZz22giiy40b_usZZBXYciEN1U/edit?usp=sharing"",""ชุ"&amp;"มพร!N216"")+IMPORTRANGE(""https://docs.google.com/spreadsheets/d/16pAz3pOhQEZBhvFNMa5KGgZS6iKWpsKX0pg6tQmwFpo/edit?usp=sharing"",""ตรัง!N216"")+IMPORTRANGE(""https://docs.google.com/spreadsheets/d/1Dj4jcHCTV9JXKCaMoheSXS52JE63kDKyG7bPXnFogHk/edit?usp=shar"&amp;"ing"",""นครศรีธรรมราช!N216"")+IMPORTRANGE(""https://docs.google.com/spreadsheets/d/1iodCdmuK2GR3jzUwk8tpccY2JHQQA-87DLOtJP-ooyU/edit?usp=sharing"",""นราธิวาส!N216"")+IMPORTRANGE(""https://docs.google.com/spreadsheets/d/1SDNX3JhDdYRuIOsj0Wh2M-Qa_eaXl0NbWmh"&amp;"AOTbfQAs/edit?usp=sharing"",""ปัตตานี!N216"")+IMPORTRANGE(""https://docs.google.com/spreadsheets/d/16JDLGguT8s5DsGCND1KcwHP_AWR_zDMTqLHPLJUKhaU/edit?usp=sharing"",""พังงา!N216"")+IMPORTRANGE(""https://docs.google.com/spreadsheets/d/17ht0gPKzzT3PObBL1XJkeR"&amp;"mntBXI7wGjpLV7QorqlTk/edit?usp=sharing"",""พัทลุง!N216"")+IMPORTRANGE(""https://docs.google.com/spreadsheets/d/1rd4qoM1q_hsgaolqNGfrim9gbsoLxQsda4-vOz5x_BM/edit?usp=sharing"",""ภูเก็ต!N216"")+IMPORTRANGE(""https://docs.google.com/spreadsheets/d/1woKwKjgoL"&amp;"ssDvPcPeVyezB5izizAn4X1JDrys69n6xI/edit?usp=sharing"",""ยะลา!N216"")+IMPORTRANGE(""https://docs.google.com/spreadsheets/d/1qfrKjzMhm2HJfxQ-qVlJlJQ25Hne1d0khsySbZyGtPA/edit?usp=sharing"",""ระนอง!N216"")+IMPORTRANGE(""https://docs.google.com/spreadsheets/d/"&amp;"1IbSCnFOKpZsnFogBHJnL_isstZVaOMnFiIN0fGTPZZw/edit?usp=sharing"",""สงขลา!N216"")+IMPORTRANGE(""https://docs.google.com/spreadsheets/d/1q9nWasZJ-K8bFGvbE9n0qSRuKGA4Toe3Y89cKCiVtCU/edit?usp=sharing"",""สตูล!N216"")+IMPORTRANGE(""https://docs.google.com/sprea"&amp;"dsheets/d/18T20gbkS_WBjdscyTOV05cvq_JqvqQ17C81mpxf7Ncs/edit?usp=sharing"",""สุราษฎร์ธานี!N216"")"),0)</f>
        <v>0</v>
      </c>
      <c r="O216" s="182"/>
      <c r="P216" s="58"/>
    </row>
    <row r="217" spans="1:16" ht="18.75" x14ac:dyDescent="0.25">
      <c r="A217" s="274"/>
      <c r="B217" s="278"/>
      <c r="C217" s="278"/>
      <c r="D217" s="60" t="s">
        <v>82</v>
      </c>
      <c r="E217" s="53"/>
      <c r="F217" s="53"/>
      <c r="G217" s="55"/>
      <c r="H217" s="163" t="s">
        <v>12</v>
      </c>
      <c r="I217" s="57"/>
      <c r="J217" s="57"/>
      <c r="K217" s="58"/>
      <c r="L217" s="59">
        <f ca="1">IFERROR(__xludf.DUMMYFUNCTION("IMPORTRANGE(""https://docs.google.com/spreadsheets/d/1kKUcYdkIfrgTSj8iHHHB2MD2FAtwyyocFgqGQn6ADyI/edit?usp=sharing"",""กระบี่!L217"")+IMPORTRANGE(""https://docs.google.com/spreadsheets/d/1GwtLaSlNZkLk7iDqcyZz22giiy40b_usZZBXYciEN1U/edit?usp=sharing"",""ชุ"&amp;"มพร!L217"")+IMPORTRANGE(""https://docs.google.com/spreadsheets/d/16pAz3pOhQEZBhvFNMa5KGgZS6iKWpsKX0pg6tQmwFpo/edit?usp=sharing"",""ตรัง!L217"")+IMPORTRANGE(""https://docs.google.com/spreadsheets/d/1Dj4jcHCTV9JXKCaMoheSXS52JE63kDKyG7bPXnFogHk/edit?usp=shar"&amp;"ing"",""นครศรีธรรมราช!L217"")+IMPORTRANGE(""https://docs.google.com/spreadsheets/d/1iodCdmuK2GR3jzUwk8tpccY2JHQQA-87DLOtJP-ooyU/edit?usp=sharing"",""นราธิวาส!L217"")+IMPORTRANGE(""https://docs.google.com/spreadsheets/d/1SDNX3JhDdYRuIOsj0Wh2M-Qa_eaXl0NbWmh"&amp;"AOTbfQAs/edit?usp=sharing"",""ปัตตานี!L217"")+IMPORTRANGE(""https://docs.google.com/spreadsheets/d/16JDLGguT8s5DsGCND1KcwHP_AWR_zDMTqLHPLJUKhaU/edit?usp=sharing"",""พังงา!L217"")+IMPORTRANGE(""https://docs.google.com/spreadsheets/d/17ht0gPKzzT3PObBL1XJkeR"&amp;"mntBXI7wGjpLV7QorqlTk/edit?usp=sharing"",""พัทลุง!L217"")+IMPORTRANGE(""https://docs.google.com/spreadsheets/d/1rd4qoM1q_hsgaolqNGfrim9gbsoLxQsda4-vOz5x_BM/edit?usp=sharing"",""ภูเก็ต!L217"")+IMPORTRANGE(""https://docs.google.com/spreadsheets/d/1woKwKjgoL"&amp;"ssDvPcPeVyezB5izizAn4X1JDrys69n6xI/edit?usp=sharing"",""ยะลา!L217"")+IMPORTRANGE(""https://docs.google.com/spreadsheets/d/1qfrKjzMhm2HJfxQ-qVlJlJQ25Hne1d0khsySbZyGtPA/edit?usp=sharing"",""ระนอง!L217"")+IMPORTRANGE(""https://docs.google.com/spreadsheets/d/"&amp;"1IbSCnFOKpZsnFogBHJnL_isstZVaOMnFiIN0fGTPZZw/edit?usp=sharing"",""สงขลา!L217"")+IMPORTRANGE(""https://docs.google.com/spreadsheets/d/1q9nWasZJ-K8bFGvbE9n0qSRuKGA4Toe3Y89cKCiVtCU/edit?usp=sharing"",""สตูล!L217"")+IMPORTRANGE(""https://docs.google.com/sprea"&amp;"dsheets/d/18T20gbkS_WBjdscyTOV05cvq_JqvqQ17C81mpxf7Ncs/edit?usp=sharing"",""สุราษฎร์ธานี!L217"")"),40000)</f>
        <v>40000</v>
      </c>
      <c r="M217" s="58"/>
      <c r="N217" s="59">
        <f ca="1">IFERROR(__xludf.DUMMYFUNCTION("IMPORTRANGE(""https://docs.google.com/spreadsheets/d/1kKUcYdkIfrgTSj8iHHHB2MD2FAtwyyocFgqGQn6ADyI/edit?usp=sharing"",""กระบี่!N217"")+IMPORTRANGE(""https://docs.google.com/spreadsheets/d/1GwtLaSlNZkLk7iDqcyZz22giiy40b_usZZBXYciEN1U/edit?usp=sharing"",""ชุ"&amp;"มพร!N217"")+IMPORTRANGE(""https://docs.google.com/spreadsheets/d/16pAz3pOhQEZBhvFNMa5KGgZS6iKWpsKX0pg6tQmwFpo/edit?usp=sharing"",""ตรัง!N217"")+IMPORTRANGE(""https://docs.google.com/spreadsheets/d/1Dj4jcHCTV9JXKCaMoheSXS52JE63kDKyG7bPXnFogHk/edit?usp=shar"&amp;"ing"",""นครศรีธรรมราช!N217"")+IMPORTRANGE(""https://docs.google.com/spreadsheets/d/1iodCdmuK2GR3jzUwk8tpccY2JHQQA-87DLOtJP-ooyU/edit?usp=sharing"",""นราธิวาส!N217"")+IMPORTRANGE(""https://docs.google.com/spreadsheets/d/1SDNX3JhDdYRuIOsj0Wh2M-Qa_eaXl0NbWmh"&amp;"AOTbfQAs/edit?usp=sharing"",""ปัตตานี!N217"")+IMPORTRANGE(""https://docs.google.com/spreadsheets/d/16JDLGguT8s5DsGCND1KcwHP_AWR_zDMTqLHPLJUKhaU/edit?usp=sharing"",""พังงา!N217"")+IMPORTRANGE(""https://docs.google.com/spreadsheets/d/17ht0gPKzzT3PObBL1XJkeR"&amp;"mntBXI7wGjpLV7QorqlTk/edit?usp=sharing"",""พัทลุง!N217"")+IMPORTRANGE(""https://docs.google.com/spreadsheets/d/1rd4qoM1q_hsgaolqNGfrim9gbsoLxQsda4-vOz5x_BM/edit?usp=sharing"",""ภูเก็ต!N217"")+IMPORTRANGE(""https://docs.google.com/spreadsheets/d/1woKwKjgoL"&amp;"ssDvPcPeVyezB5izizAn4X1JDrys69n6xI/edit?usp=sharing"",""ยะลา!N217"")+IMPORTRANGE(""https://docs.google.com/spreadsheets/d/1qfrKjzMhm2HJfxQ-qVlJlJQ25Hne1d0khsySbZyGtPA/edit?usp=sharing"",""ระนอง!N217"")+IMPORTRANGE(""https://docs.google.com/spreadsheets/d/"&amp;"1IbSCnFOKpZsnFogBHJnL_isstZVaOMnFiIN0fGTPZZw/edit?usp=sharing"",""สงขลา!N217"")+IMPORTRANGE(""https://docs.google.com/spreadsheets/d/1q9nWasZJ-K8bFGvbE9n0qSRuKGA4Toe3Y89cKCiVtCU/edit?usp=sharing"",""สตูล!N217"")+IMPORTRANGE(""https://docs.google.com/sprea"&amp;"dsheets/d/18T20gbkS_WBjdscyTOV05cvq_JqvqQ17C81mpxf7Ncs/edit?usp=sharing"",""สุราษฎร์ธานี!N217"")"),0)</f>
        <v>0</v>
      </c>
      <c r="O217" s="182"/>
      <c r="P217" s="58"/>
    </row>
    <row r="218" spans="1:16" ht="19.5" x14ac:dyDescent="0.3">
      <c r="A218" s="167"/>
      <c r="B218" s="168"/>
      <c r="C218" s="296" t="s">
        <v>16</v>
      </c>
      <c r="D218" s="169" t="s">
        <v>36</v>
      </c>
      <c r="E218" s="170"/>
      <c r="F218" s="170"/>
      <c r="G218" s="171"/>
      <c r="H218" s="172"/>
      <c r="I218" s="164"/>
      <c r="J218" s="57"/>
      <c r="K218" s="58"/>
      <c r="L218" s="58"/>
      <c r="M218" s="58"/>
      <c r="N218" s="58"/>
      <c r="O218" s="165"/>
      <c r="P218" s="165"/>
    </row>
    <row r="219" spans="1:16" ht="18.75" x14ac:dyDescent="0.25">
      <c r="A219" s="167"/>
      <c r="B219" s="168"/>
      <c r="C219" s="168"/>
      <c r="D219" s="173" t="s">
        <v>90</v>
      </c>
      <c r="E219" s="174"/>
      <c r="F219" s="174"/>
      <c r="G219" s="172"/>
      <c r="H219" s="294" t="s">
        <v>79</v>
      </c>
      <c r="I219" s="194">
        <f ca="1">IFERROR(__xludf.DUMMYFUNCTION("IMPORTRANGE(""https://docs.google.com/spreadsheets/d/1kKUcYdkIfrgTSj8iHHHB2MD2FAtwyyocFgqGQn6ADyI/edit?usp=sharing"",""กระบี่!I219"")+IMPORTRANGE(""https://docs.google.com/spreadsheets/d/1GwtLaSlNZkLk7iDqcyZz22giiy40b_usZZBXYciEN1U/edit?usp=sharing"",""ชุ"&amp;"มพร!I219"")+IMPORTRANGE(""https://docs.google.com/spreadsheets/d/16pAz3pOhQEZBhvFNMa5KGgZS6iKWpsKX0pg6tQmwFpo/edit?usp=sharing"",""ตรัง!I219"")+IMPORTRANGE(""https://docs.google.com/spreadsheets/d/1Dj4jcHCTV9JXKCaMoheSXS52JE63kDKyG7bPXnFogHk/edit?usp=shar"&amp;"ing"",""นครศรีธรรมราช!I219"")+IMPORTRANGE(""https://docs.google.com/spreadsheets/d/1iodCdmuK2GR3jzUwk8tpccY2JHQQA-87DLOtJP-ooyU/edit?usp=sharing"",""นราธิวาส!I219"")+IMPORTRANGE(""https://docs.google.com/spreadsheets/d/1SDNX3JhDdYRuIOsj0Wh2M-Qa_eaXl0NbWmh"&amp;"AOTbfQAs/edit?usp=sharing"",""ปัตตานี!I219"")+IMPORTRANGE(""https://docs.google.com/spreadsheets/d/16JDLGguT8s5DsGCND1KcwHP_AWR_zDMTqLHPLJUKhaU/edit?usp=sharing"",""พังงา!I219"")+IMPORTRANGE(""https://docs.google.com/spreadsheets/d/17ht0gPKzzT3PObBL1XJkeR"&amp;"mntBXI7wGjpLV7QorqlTk/edit?usp=sharing"",""พัทลุง!I219"")+IMPORTRANGE(""https://docs.google.com/spreadsheets/d/1rd4qoM1q_hsgaolqNGfrim9gbsoLxQsda4-vOz5x_BM/edit?usp=sharing"",""ภูเก็ต!I219"")+IMPORTRANGE(""https://docs.google.com/spreadsheets/d/1woKwKjgoL"&amp;"ssDvPcPeVyezB5izizAn4X1JDrys69n6xI/edit?usp=sharing"",""ยะลา!I219"")+IMPORTRANGE(""https://docs.google.com/spreadsheets/d/1qfrKjzMhm2HJfxQ-qVlJlJQ25Hne1d0khsySbZyGtPA/edit?usp=sharing"",""ระนอง!I219"")+IMPORTRANGE(""https://docs.google.com/spreadsheets/d/"&amp;"1IbSCnFOKpZsnFogBHJnL_isstZVaOMnFiIN0fGTPZZw/edit?usp=sharing"",""สงขลา!I219"")+IMPORTRANGE(""https://docs.google.com/spreadsheets/d/1q9nWasZJ-K8bFGvbE9n0qSRuKGA4Toe3Y89cKCiVtCU/edit?usp=sharing"",""สตูล!I219"")+IMPORTRANGE(""https://docs.google.com/sprea"&amp;"dsheets/d/18T20gbkS_WBjdscyTOV05cvq_JqvqQ17C81mpxf7Ncs/edit?usp=sharing"",""สุราษฎร์ธานี!I219"")"),5)</f>
        <v>5</v>
      </c>
      <c r="J219" s="194">
        <f ca="1">IFERROR(__xludf.DUMMYFUNCTION("IMPORTRANGE(""https://docs.google.com/spreadsheets/d/1kKUcYdkIfrgTSj8iHHHB2MD2FAtwyyocFgqGQn6ADyI/edit?usp=sharing"",""กระบี่!J219"")+IMPORTRANGE(""https://docs.google.com/spreadsheets/d/1GwtLaSlNZkLk7iDqcyZz22giiy40b_usZZBXYciEN1U/edit?usp=sharing"",""ชุ"&amp;"มพร!J219"")+IMPORTRANGE(""https://docs.google.com/spreadsheets/d/16pAz3pOhQEZBhvFNMa5KGgZS6iKWpsKX0pg6tQmwFpo/edit?usp=sharing"",""ตรัง!J219"")+IMPORTRANGE(""https://docs.google.com/spreadsheets/d/1Dj4jcHCTV9JXKCaMoheSXS52JE63kDKyG7bPXnFogHk/edit?usp=shar"&amp;"ing"",""นครศรีธรรมราช!J219"")+IMPORTRANGE(""https://docs.google.com/spreadsheets/d/1iodCdmuK2GR3jzUwk8tpccY2JHQQA-87DLOtJP-ooyU/edit?usp=sharing"",""นราธิวาส!J219"")+IMPORTRANGE(""https://docs.google.com/spreadsheets/d/1SDNX3JhDdYRuIOsj0Wh2M-Qa_eaXl0NbWmh"&amp;"AOTbfQAs/edit?usp=sharing"",""ปัตตานี!J219"")+IMPORTRANGE(""https://docs.google.com/spreadsheets/d/16JDLGguT8s5DsGCND1KcwHP_AWR_zDMTqLHPLJUKhaU/edit?usp=sharing"",""พังงา!J219"")+IMPORTRANGE(""https://docs.google.com/spreadsheets/d/17ht0gPKzzT3PObBL1XJkeR"&amp;"mntBXI7wGjpLV7QorqlTk/edit?usp=sharing"",""พัทลุง!J219"")+IMPORTRANGE(""https://docs.google.com/spreadsheets/d/1rd4qoM1q_hsgaolqNGfrim9gbsoLxQsda4-vOz5x_BM/edit?usp=sharing"",""ภูเก็ต!J219"")+IMPORTRANGE(""https://docs.google.com/spreadsheets/d/1woKwKjgoL"&amp;"ssDvPcPeVyezB5izizAn4X1JDrys69n6xI/edit?usp=sharing"",""ยะลา!J219"")+IMPORTRANGE(""https://docs.google.com/spreadsheets/d/1qfrKjzMhm2HJfxQ-qVlJlJQ25Hne1d0khsySbZyGtPA/edit?usp=sharing"",""ระนอง!J219"")+IMPORTRANGE(""https://docs.google.com/spreadsheets/d/"&amp;"1IbSCnFOKpZsnFogBHJnL_isstZVaOMnFiIN0fGTPZZw/edit?usp=sharing"",""สงขลา!J219"")+IMPORTRANGE(""https://docs.google.com/spreadsheets/d/1q9nWasZJ-K8bFGvbE9n0qSRuKGA4Toe3Y89cKCiVtCU/edit?usp=sharing"",""สตูล!J219"")+IMPORTRANGE(""https://docs.google.com/sprea"&amp;"dsheets/d/18T20gbkS_WBjdscyTOV05cvq_JqvqQ17C81mpxf7Ncs/edit?usp=sharing"",""สุราษฎร์ธานี!J219"")"),0)</f>
        <v>0</v>
      </c>
      <c r="K219" s="59">
        <f t="shared" ref="K219:K221" ca="1" si="103">IF(I219&gt;0,J219*100/I219,0)</f>
        <v>0</v>
      </c>
      <c r="L219" s="58"/>
      <c r="M219" s="58"/>
      <c r="N219" s="58"/>
      <c r="O219" s="58"/>
      <c r="P219" s="58"/>
    </row>
    <row r="220" spans="1:16" ht="18.75" x14ac:dyDescent="0.25">
      <c r="A220" s="167"/>
      <c r="B220" s="168"/>
      <c r="C220" s="168"/>
      <c r="D220" s="173" t="s">
        <v>91</v>
      </c>
      <c r="E220" s="174"/>
      <c r="F220" s="174"/>
      <c r="G220" s="172"/>
      <c r="H220" s="294" t="s">
        <v>79</v>
      </c>
      <c r="I220" s="194">
        <f ca="1">IFERROR(__xludf.DUMMYFUNCTION("IMPORTRANGE(""https://docs.google.com/spreadsheets/d/1kKUcYdkIfrgTSj8iHHHB2MD2FAtwyyocFgqGQn6ADyI/edit?usp=sharing"",""กระบี่!I220"")+IMPORTRANGE(""https://docs.google.com/spreadsheets/d/1GwtLaSlNZkLk7iDqcyZz22giiy40b_usZZBXYciEN1U/edit?usp=sharing"",""ชุ"&amp;"มพร!I220"")+IMPORTRANGE(""https://docs.google.com/spreadsheets/d/16pAz3pOhQEZBhvFNMa5KGgZS6iKWpsKX0pg6tQmwFpo/edit?usp=sharing"",""ตรัง!I220"")+IMPORTRANGE(""https://docs.google.com/spreadsheets/d/1Dj4jcHCTV9JXKCaMoheSXS52JE63kDKyG7bPXnFogHk/edit?usp=shar"&amp;"ing"",""นครศรีธรรมราช!I220"")+IMPORTRANGE(""https://docs.google.com/spreadsheets/d/1iodCdmuK2GR3jzUwk8tpccY2JHQQA-87DLOtJP-ooyU/edit?usp=sharing"",""นราธิวาส!I220"")+IMPORTRANGE(""https://docs.google.com/spreadsheets/d/1SDNX3JhDdYRuIOsj0Wh2M-Qa_eaXl0NbWmh"&amp;"AOTbfQAs/edit?usp=sharing"",""ปัตตานี!I220"")+IMPORTRANGE(""https://docs.google.com/spreadsheets/d/16JDLGguT8s5DsGCND1KcwHP_AWR_zDMTqLHPLJUKhaU/edit?usp=sharing"",""พังงา!I220"")+IMPORTRANGE(""https://docs.google.com/spreadsheets/d/17ht0gPKzzT3PObBL1XJkeR"&amp;"mntBXI7wGjpLV7QorqlTk/edit?usp=sharing"",""พัทลุง!I220"")+IMPORTRANGE(""https://docs.google.com/spreadsheets/d/1rd4qoM1q_hsgaolqNGfrim9gbsoLxQsda4-vOz5x_BM/edit?usp=sharing"",""ภูเก็ต!I220"")+IMPORTRANGE(""https://docs.google.com/spreadsheets/d/1woKwKjgoL"&amp;"ssDvPcPeVyezB5izizAn4X1JDrys69n6xI/edit?usp=sharing"",""ยะลา!I220"")+IMPORTRANGE(""https://docs.google.com/spreadsheets/d/1qfrKjzMhm2HJfxQ-qVlJlJQ25Hne1d0khsySbZyGtPA/edit?usp=sharing"",""ระนอง!I220"")+IMPORTRANGE(""https://docs.google.com/spreadsheets/d/"&amp;"1IbSCnFOKpZsnFogBHJnL_isstZVaOMnFiIN0fGTPZZw/edit?usp=sharing"",""สงขลา!I220"")+IMPORTRANGE(""https://docs.google.com/spreadsheets/d/1q9nWasZJ-K8bFGvbE9n0qSRuKGA4Toe3Y89cKCiVtCU/edit?usp=sharing"",""สตูล!I220"")+IMPORTRANGE(""https://docs.google.com/sprea"&amp;"dsheets/d/18T20gbkS_WBjdscyTOV05cvq_JqvqQ17C81mpxf7Ncs/edit?usp=sharing"",""สุราษฎร์ธานี!I220"")"),5)</f>
        <v>5</v>
      </c>
      <c r="J220" s="194">
        <f ca="1">IFERROR(__xludf.DUMMYFUNCTION("IMPORTRANGE(""https://docs.google.com/spreadsheets/d/1kKUcYdkIfrgTSj8iHHHB2MD2FAtwyyocFgqGQn6ADyI/edit?usp=sharing"",""กระบี่!J220"")+IMPORTRANGE(""https://docs.google.com/spreadsheets/d/1GwtLaSlNZkLk7iDqcyZz22giiy40b_usZZBXYciEN1U/edit?usp=sharing"",""ชุ"&amp;"มพร!J220"")+IMPORTRANGE(""https://docs.google.com/spreadsheets/d/16pAz3pOhQEZBhvFNMa5KGgZS6iKWpsKX0pg6tQmwFpo/edit?usp=sharing"",""ตรัง!J220"")+IMPORTRANGE(""https://docs.google.com/spreadsheets/d/1Dj4jcHCTV9JXKCaMoheSXS52JE63kDKyG7bPXnFogHk/edit?usp=shar"&amp;"ing"",""นครศรีธรรมราช!J220"")+IMPORTRANGE(""https://docs.google.com/spreadsheets/d/1iodCdmuK2GR3jzUwk8tpccY2JHQQA-87DLOtJP-ooyU/edit?usp=sharing"",""นราธิวาส!J220"")+IMPORTRANGE(""https://docs.google.com/spreadsheets/d/1SDNX3JhDdYRuIOsj0Wh2M-Qa_eaXl0NbWmh"&amp;"AOTbfQAs/edit?usp=sharing"",""ปัตตานี!J220"")+IMPORTRANGE(""https://docs.google.com/spreadsheets/d/16JDLGguT8s5DsGCND1KcwHP_AWR_zDMTqLHPLJUKhaU/edit?usp=sharing"",""พังงา!J220"")+IMPORTRANGE(""https://docs.google.com/spreadsheets/d/17ht0gPKzzT3PObBL1XJkeR"&amp;"mntBXI7wGjpLV7QorqlTk/edit?usp=sharing"",""พัทลุง!J220"")+IMPORTRANGE(""https://docs.google.com/spreadsheets/d/1rd4qoM1q_hsgaolqNGfrim9gbsoLxQsda4-vOz5x_BM/edit?usp=sharing"",""ภูเก็ต!J220"")+IMPORTRANGE(""https://docs.google.com/spreadsheets/d/1woKwKjgoL"&amp;"ssDvPcPeVyezB5izizAn4X1JDrys69n6xI/edit?usp=sharing"",""ยะลา!J220"")+IMPORTRANGE(""https://docs.google.com/spreadsheets/d/1qfrKjzMhm2HJfxQ-qVlJlJQ25Hne1d0khsySbZyGtPA/edit?usp=sharing"",""ระนอง!J220"")+IMPORTRANGE(""https://docs.google.com/spreadsheets/d/"&amp;"1IbSCnFOKpZsnFogBHJnL_isstZVaOMnFiIN0fGTPZZw/edit?usp=sharing"",""สงขลา!J220"")+IMPORTRANGE(""https://docs.google.com/spreadsheets/d/1q9nWasZJ-K8bFGvbE9n0qSRuKGA4Toe3Y89cKCiVtCU/edit?usp=sharing"",""สตูล!J220"")+IMPORTRANGE(""https://docs.google.com/sprea"&amp;"dsheets/d/18T20gbkS_WBjdscyTOV05cvq_JqvqQ17C81mpxf7Ncs/edit?usp=sharing"",""สุราษฎร์ธานี!J220"")"),0)</f>
        <v>0</v>
      </c>
      <c r="K220" s="59">
        <f t="shared" ca="1" si="103"/>
        <v>0</v>
      </c>
      <c r="L220" s="58"/>
      <c r="M220" s="58"/>
      <c r="N220" s="58"/>
      <c r="O220" s="58"/>
      <c r="P220" s="58"/>
    </row>
    <row r="221" spans="1:16" ht="19.5" x14ac:dyDescent="0.3">
      <c r="A221" s="279"/>
      <c r="B221" s="280"/>
      <c r="C221" s="281" t="s">
        <v>92</v>
      </c>
      <c r="D221" s="282"/>
      <c r="E221" s="282"/>
      <c r="F221" s="282"/>
      <c r="G221" s="283"/>
      <c r="H221" s="284" t="s">
        <v>93</v>
      </c>
      <c r="I221" s="285">
        <f t="shared" ref="I221:J221" ca="1" si="104">I229</f>
        <v>239000</v>
      </c>
      <c r="J221" s="285">
        <f t="shared" ca="1" si="104"/>
        <v>0</v>
      </c>
      <c r="K221" s="286">
        <f t="shared" ca="1" si="103"/>
        <v>0</v>
      </c>
      <c r="L221" s="287"/>
      <c r="M221" s="287"/>
      <c r="N221" s="287"/>
      <c r="O221" s="287"/>
      <c r="P221" s="287"/>
    </row>
    <row r="222" spans="1:16" ht="19.5" x14ac:dyDescent="0.3">
      <c r="A222" s="157"/>
      <c r="B222" s="53"/>
      <c r="C222" s="158" t="s">
        <v>16</v>
      </c>
      <c r="D222" s="288" t="s">
        <v>17</v>
      </c>
      <c r="E222" s="53"/>
      <c r="F222" s="53"/>
      <c r="G222" s="55"/>
      <c r="H222" s="289" t="s">
        <v>12</v>
      </c>
      <c r="I222" s="164"/>
      <c r="J222" s="164"/>
      <c r="K222" s="165"/>
      <c r="L222" s="161">
        <f ca="1">L223+L224+L225</f>
        <v>66500</v>
      </c>
      <c r="M222" s="58"/>
      <c r="N222" s="161">
        <f ca="1">N223+N224+N225</f>
        <v>0</v>
      </c>
      <c r="O222" s="161">
        <f ca="1">IF(L222&gt;0,N222*100/L222,0)</f>
        <v>0</v>
      </c>
      <c r="P222" s="161"/>
    </row>
    <row r="223" spans="1:16" ht="18.75" x14ac:dyDescent="0.25">
      <c r="A223" s="157"/>
      <c r="B223" s="278"/>
      <c r="C223" s="53"/>
      <c r="D223" s="60" t="s">
        <v>80</v>
      </c>
      <c r="E223" s="53"/>
      <c r="F223" s="53"/>
      <c r="G223" s="55"/>
      <c r="H223" s="163" t="s">
        <v>12</v>
      </c>
      <c r="I223" s="164"/>
      <c r="J223" s="164"/>
      <c r="K223" s="165"/>
      <c r="L223" s="59">
        <f ca="1">IFERROR(__xludf.DUMMYFUNCTION("IMPORTRANGE(""https://docs.google.com/spreadsheets/d/1kKUcYdkIfrgTSj8iHHHB2MD2FAtwyyocFgqGQn6ADyI/edit?usp=sharing"",""กระบี่!L223"")+IMPORTRANGE(""https://docs.google.com/spreadsheets/d/1GwtLaSlNZkLk7iDqcyZz22giiy40b_usZZBXYciEN1U/edit?usp=sharing"",""ชุ"&amp;"มพร!L223"")+IMPORTRANGE(""https://docs.google.com/spreadsheets/d/16pAz3pOhQEZBhvFNMa5KGgZS6iKWpsKX0pg6tQmwFpo/edit?usp=sharing"",""ตรัง!L223"")+IMPORTRANGE(""https://docs.google.com/spreadsheets/d/1Dj4jcHCTV9JXKCaMoheSXS52JE63kDKyG7bPXnFogHk/edit?usp=shar"&amp;"ing"",""นครศรีธรรมราช!L223"")+IMPORTRANGE(""https://docs.google.com/spreadsheets/d/1iodCdmuK2GR3jzUwk8tpccY2JHQQA-87DLOtJP-ooyU/edit?usp=sharing"",""นราธิวาส!L223"")+IMPORTRANGE(""https://docs.google.com/spreadsheets/d/1SDNX3JhDdYRuIOsj0Wh2M-Qa_eaXl0NbWmh"&amp;"AOTbfQAs/edit?usp=sharing"",""ปัตตานี!L223"")+IMPORTRANGE(""https://docs.google.com/spreadsheets/d/16JDLGguT8s5DsGCND1KcwHP_AWR_zDMTqLHPLJUKhaU/edit?usp=sharing"",""พังงา!L223"")+IMPORTRANGE(""https://docs.google.com/spreadsheets/d/17ht0gPKzzT3PObBL1XJkeR"&amp;"mntBXI7wGjpLV7QorqlTk/edit?usp=sharing"",""พัทลุง!L223"")+IMPORTRANGE(""https://docs.google.com/spreadsheets/d/1rd4qoM1q_hsgaolqNGfrim9gbsoLxQsda4-vOz5x_BM/edit?usp=sharing"",""ภูเก็ต!L223"")+IMPORTRANGE(""https://docs.google.com/spreadsheets/d/1woKwKjgoL"&amp;"ssDvPcPeVyezB5izizAn4X1JDrys69n6xI/edit?usp=sharing"",""ยะลา!L223"")+IMPORTRANGE(""https://docs.google.com/spreadsheets/d/1qfrKjzMhm2HJfxQ-qVlJlJQ25Hne1d0khsySbZyGtPA/edit?usp=sharing"",""ระนอง!L223"")+IMPORTRANGE(""https://docs.google.com/spreadsheets/d/"&amp;"1IbSCnFOKpZsnFogBHJnL_isstZVaOMnFiIN0fGTPZZw/edit?usp=sharing"",""สงขลา!L223"")+IMPORTRANGE(""https://docs.google.com/spreadsheets/d/1q9nWasZJ-K8bFGvbE9n0qSRuKGA4Toe3Y89cKCiVtCU/edit?usp=sharing"",""สตูล!L223"")+IMPORTRANGE(""https://docs.google.com/sprea"&amp;"dsheets/d/18T20gbkS_WBjdscyTOV05cvq_JqvqQ17C81mpxf7Ncs/edit?usp=sharing"",""สุราษฎร์ธานี!L223"")"),47000)</f>
        <v>47000</v>
      </c>
      <c r="M223" s="58"/>
      <c r="N223" s="59">
        <f ca="1">IFERROR(__xludf.DUMMYFUNCTION("IMPORTRANGE(""https://docs.google.com/spreadsheets/d/1kKUcYdkIfrgTSj8iHHHB2MD2FAtwyyocFgqGQn6ADyI/edit?usp=sharing"",""กระบี่!N223"")+IMPORTRANGE(""https://docs.google.com/spreadsheets/d/1GwtLaSlNZkLk7iDqcyZz22giiy40b_usZZBXYciEN1U/edit?usp=sharing"",""ชุ"&amp;"มพร!N223"")+IMPORTRANGE(""https://docs.google.com/spreadsheets/d/16pAz3pOhQEZBhvFNMa5KGgZS6iKWpsKX0pg6tQmwFpo/edit?usp=sharing"",""ตรัง!N223"")+IMPORTRANGE(""https://docs.google.com/spreadsheets/d/1Dj4jcHCTV9JXKCaMoheSXS52JE63kDKyG7bPXnFogHk/edit?usp=shar"&amp;"ing"",""นครศรีธรรมราช!N223"")+IMPORTRANGE(""https://docs.google.com/spreadsheets/d/1iodCdmuK2GR3jzUwk8tpccY2JHQQA-87DLOtJP-ooyU/edit?usp=sharing"",""นราธิวาส!N223"")+IMPORTRANGE(""https://docs.google.com/spreadsheets/d/1SDNX3JhDdYRuIOsj0Wh2M-Qa_eaXl0NbWmh"&amp;"AOTbfQAs/edit?usp=sharing"",""ปัตตานี!N223"")+IMPORTRANGE(""https://docs.google.com/spreadsheets/d/16JDLGguT8s5DsGCND1KcwHP_AWR_zDMTqLHPLJUKhaU/edit?usp=sharing"",""พังงา!N223"")+IMPORTRANGE(""https://docs.google.com/spreadsheets/d/17ht0gPKzzT3PObBL1XJkeR"&amp;"mntBXI7wGjpLV7QorqlTk/edit?usp=sharing"",""พัทลุง!N223"")+IMPORTRANGE(""https://docs.google.com/spreadsheets/d/1rd4qoM1q_hsgaolqNGfrim9gbsoLxQsda4-vOz5x_BM/edit?usp=sharing"",""ภูเก็ต!N223"")+IMPORTRANGE(""https://docs.google.com/spreadsheets/d/1woKwKjgoL"&amp;"ssDvPcPeVyezB5izizAn4X1JDrys69n6xI/edit?usp=sharing"",""ยะลา!N223"")+IMPORTRANGE(""https://docs.google.com/spreadsheets/d/1qfrKjzMhm2HJfxQ-qVlJlJQ25Hne1d0khsySbZyGtPA/edit?usp=sharing"",""ระนอง!N223"")+IMPORTRANGE(""https://docs.google.com/spreadsheets/d/"&amp;"1IbSCnFOKpZsnFogBHJnL_isstZVaOMnFiIN0fGTPZZw/edit?usp=sharing"",""สงขลา!N223"")+IMPORTRANGE(""https://docs.google.com/spreadsheets/d/1q9nWasZJ-K8bFGvbE9n0qSRuKGA4Toe3Y89cKCiVtCU/edit?usp=sharing"",""สตูล!N223"")+IMPORTRANGE(""https://docs.google.com/sprea"&amp;"dsheets/d/18T20gbkS_WBjdscyTOV05cvq_JqvqQ17C81mpxf7Ncs/edit?usp=sharing"",""สุราษฎร์ธานี!N223"")"),0)</f>
        <v>0</v>
      </c>
      <c r="O223" s="182"/>
      <c r="P223" s="58"/>
    </row>
    <row r="224" spans="1:16" ht="18.75" x14ac:dyDescent="0.25">
      <c r="A224" s="274"/>
      <c r="B224" s="278"/>
      <c r="C224" s="278"/>
      <c r="D224" s="60" t="s">
        <v>94</v>
      </c>
      <c r="E224" s="53"/>
      <c r="F224" s="53"/>
      <c r="G224" s="55"/>
      <c r="H224" s="163" t="s">
        <v>12</v>
      </c>
      <c r="I224" s="57"/>
      <c r="J224" s="57"/>
      <c r="K224" s="58"/>
      <c r="L224" s="59">
        <f ca="1">IFERROR(__xludf.DUMMYFUNCTION("IMPORTRANGE(""https://docs.google.com/spreadsheets/d/1kKUcYdkIfrgTSj8iHHHB2MD2FAtwyyocFgqGQn6ADyI/edit?usp=sharing"",""กระบี่!L224"")+IMPORTRANGE(""https://docs.google.com/spreadsheets/d/1GwtLaSlNZkLk7iDqcyZz22giiy40b_usZZBXYciEN1U/edit?usp=sharing"",""ชุ"&amp;"มพร!L224"")+IMPORTRANGE(""https://docs.google.com/spreadsheets/d/16pAz3pOhQEZBhvFNMa5KGgZS6iKWpsKX0pg6tQmwFpo/edit?usp=sharing"",""ตรัง!L224"")+IMPORTRANGE(""https://docs.google.com/spreadsheets/d/1Dj4jcHCTV9JXKCaMoheSXS52JE63kDKyG7bPXnFogHk/edit?usp=shar"&amp;"ing"",""นครศรีธรรมราช!L224"")+IMPORTRANGE(""https://docs.google.com/spreadsheets/d/1iodCdmuK2GR3jzUwk8tpccY2JHQQA-87DLOtJP-ooyU/edit?usp=sharing"",""นราธิวาส!L224"")+IMPORTRANGE(""https://docs.google.com/spreadsheets/d/1SDNX3JhDdYRuIOsj0Wh2M-Qa_eaXl0NbWmh"&amp;"AOTbfQAs/edit?usp=sharing"",""ปัตตานี!L224"")+IMPORTRANGE(""https://docs.google.com/spreadsheets/d/16JDLGguT8s5DsGCND1KcwHP_AWR_zDMTqLHPLJUKhaU/edit?usp=sharing"",""พังงา!L224"")+IMPORTRANGE(""https://docs.google.com/spreadsheets/d/17ht0gPKzzT3PObBL1XJkeR"&amp;"mntBXI7wGjpLV7QorqlTk/edit?usp=sharing"",""พัทลุง!L224"")+IMPORTRANGE(""https://docs.google.com/spreadsheets/d/1rd4qoM1q_hsgaolqNGfrim9gbsoLxQsda4-vOz5x_BM/edit?usp=sharing"",""ภูเก็ต!L224"")+IMPORTRANGE(""https://docs.google.com/spreadsheets/d/1woKwKjgoL"&amp;"ssDvPcPeVyezB5izizAn4X1JDrys69n6xI/edit?usp=sharing"",""ยะลา!L224"")+IMPORTRANGE(""https://docs.google.com/spreadsheets/d/1qfrKjzMhm2HJfxQ-qVlJlJQ25Hne1d0khsySbZyGtPA/edit?usp=sharing"",""ระนอง!L224"")+IMPORTRANGE(""https://docs.google.com/spreadsheets/d/"&amp;"1IbSCnFOKpZsnFogBHJnL_isstZVaOMnFiIN0fGTPZZw/edit?usp=sharing"",""สงขลา!L224"")+IMPORTRANGE(""https://docs.google.com/spreadsheets/d/1q9nWasZJ-K8bFGvbE9n0qSRuKGA4Toe3Y89cKCiVtCU/edit?usp=sharing"",""สตูล!L224"")+IMPORTRANGE(""https://docs.google.com/sprea"&amp;"dsheets/d/18T20gbkS_WBjdscyTOV05cvq_JqvqQ17C81mpxf7Ncs/edit?usp=sharing"",""สุราษฎร์ธานี!L224"")"),19500)</f>
        <v>19500</v>
      </c>
      <c r="M224" s="58"/>
      <c r="N224" s="59">
        <f ca="1">IFERROR(__xludf.DUMMYFUNCTION("IMPORTRANGE(""https://docs.google.com/spreadsheets/d/1kKUcYdkIfrgTSj8iHHHB2MD2FAtwyyocFgqGQn6ADyI/edit?usp=sharing"",""กระบี่!N224"")+IMPORTRANGE(""https://docs.google.com/spreadsheets/d/1GwtLaSlNZkLk7iDqcyZz22giiy40b_usZZBXYciEN1U/edit?usp=sharing"",""ชุ"&amp;"มพร!N224"")+IMPORTRANGE(""https://docs.google.com/spreadsheets/d/16pAz3pOhQEZBhvFNMa5KGgZS6iKWpsKX0pg6tQmwFpo/edit?usp=sharing"",""ตรัง!N224"")+IMPORTRANGE(""https://docs.google.com/spreadsheets/d/1Dj4jcHCTV9JXKCaMoheSXS52JE63kDKyG7bPXnFogHk/edit?usp=shar"&amp;"ing"",""นครศรีธรรมราช!N224"")+IMPORTRANGE(""https://docs.google.com/spreadsheets/d/1iodCdmuK2GR3jzUwk8tpccY2JHQQA-87DLOtJP-ooyU/edit?usp=sharing"",""นราธิวาส!N224"")+IMPORTRANGE(""https://docs.google.com/spreadsheets/d/1SDNX3JhDdYRuIOsj0Wh2M-Qa_eaXl0NbWmh"&amp;"AOTbfQAs/edit?usp=sharing"",""ปัตตานี!N224"")+IMPORTRANGE(""https://docs.google.com/spreadsheets/d/16JDLGguT8s5DsGCND1KcwHP_AWR_zDMTqLHPLJUKhaU/edit?usp=sharing"",""พังงา!N224"")+IMPORTRANGE(""https://docs.google.com/spreadsheets/d/17ht0gPKzzT3PObBL1XJkeR"&amp;"mntBXI7wGjpLV7QorqlTk/edit?usp=sharing"",""พัทลุง!N224"")+IMPORTRANGE(""https://docs.google.com/spreadsheets/d/1rd4qoM1q_hsgaolqNGfrim9gbsoLxQsda4-vOz5x_BM/edit?usp=sharing"",""ภูเก็ต!N224"")+IMPORTRANGE(""https://docs.google.com/spreadsheets/d/1woKwKjgoL"&amp;"ssDvPcPeVyezB5izizAn4X1JDrys69n6xI/edit?usp=sharing"",""ยะลา!N224"")+IMPORTRANGE(""https://docs.google.com/spreadsheets/d/1qfrKjzMhm2HJfxQ-qVlJlJQ25Hne1d0khsySbZyGtPA/edit?usp=sharing"",""ระนอง!N224"")+IMPORTRANGE(""https://docs.google.com/spreadsheets/d/"&amp;"1IbSCnFOKpZsnFogBHJnL_isstZVaOMnFiIN0fGTPZZw/edit?usp=sharing"",""สงขลา!N224"")+IMPORTRANGE(""https://docs.google.com/spreadsheets/d/1q9nWasZJ-K8bFGvbE9n0qSRuKGA4Toe3Y89cKCiVtCU/edit?usp=sharing"",""สตูล!N224"")+IMPORTRANGE(""https://docs.google.com/sprea"&amp;"dsheets/d/18T20gbkS_WBjdscyTOV05cvq_JqvqQ17C81mpxf7Ncs/edit?usp=sharing"",""สุราษฎร์ธานี!N224"")"),0)</f>
        <v>0</v>
      </c>
      <c r="O224" s="182"/>
      <c r="P224" s="58"/>
    </row>
    <row r="225" spans="1:16" ht="18.75" hidden="1" x14ac:dyDescent="0.25">
      <c r="A225" s="297"/>
      <c r="B225" s="298"/>
      <c r="C225" s="298"/>
      <c r="D225" s="299"/>
      <c r="E225" s="300"/>
      <c r="F225" s="300"/>
      <c r="G225" s="301"/>
      <c r="H225" s="302"/>
      <c r="I225" s="303"/>
      <c r="J225" s="303"/>
      <c r="K225" s="304"/>
      <c r="L225" s="305"/>
      <c r="M225" s="304"/>
      <c r="N225" s="305"/>
      <c r="O225" s="305"/>
      <c r="P225" s="304"/>
    </row>
    <row r="226" spans="1:16" ht="19.5" x14ac:dyDescent="0.3">
      <c r="A226" s="167"/>
      <c r="B226" s="168"/>
      <c r="C226" s="296" t="s">
        <v>16</v>
      </c>
      <c r="D226" s="169" t="s">
        <v>36</v>
      </c>
      <c r="E226" s="170"/>
      <c r="F226" s="170"/>
      <c r="G226" s="171"/>
      <c r="H226" s="172"/>
      <c r="I226" s="164"/>
      <c r="J226" s="164"/>
      <c r="K226" s="165"/>
      <c r="L226" s="165"/>
      <c r="M226" s="165"/>
      <c r="N226" s="165"/>
      <c r="O226" s="165"/>
      <c r="P226" s="165"/>
    </row>
    <row r="227" spans="1:16" ht="18.75" x14ac:dyDescent="0.25">
      <c r="A227" s="167"/>
      <c r="B227" s="168"/>
      <c r="C227" s="168"/>
      <c r="D227" s="60" t="s">
        <v>95</v>
      </c>
      <c r="E227" s="174"/>
      <c r="F227" s="174"/>
      <c r="G227" s="172"/>
      <c r="H227" s="172"/>
      <c r="I227" s="57"/>
      <c r="J227" s="57"/>
      <c r="K227" s="165"/>
      <c r="L227" s="165"/>
      <c r="M227" s="165"/>
      <c r="N227" s="165"/>
      <c r="O227" s="165"/>
      <c r="P227" s="165"/>
    </row>
    <row r="228" spans="1:16" ht="18.75" x14ac:dyDescent="0.25">
      <c r="A228" s="167"/>
      <c r="B228" s="168"/>
      <c r="C228" s="168"/>
      <c r="D228" s="168"/>
      <c r="E228" s="173" t="s">
        <v>96</v>
      </c>
      <c r="F228" s="174"/>
      <c r="G228" s="172"/>
      <c r="H228" s="179" t="s">
        <v>93</v>
      </c>
      <c r="I228" s="194">
        <f ca="1">IFERROR(__xludf.DUMMYFUNCTION("IMPORTRANGE(""https://docs.google.com/spreadsheets/d/1kKUcYdkIfrgTSj8iHHHB2MD2FAtwyyocFgqGQn6ADyI/edit?usp=sharing"",""กระบี่!I228"")+IMPORTRANGE(""https://docs.google.com/spreadsheets/d/1GwtLaSlNZkLk7iDqcyZz22giiy40b_usZZBXYciEN1U/edit?usp=sharing"",""ชุ"&amp;"มพร!I228"")+IMPORTRANGE(""https://docs.google.com/spreadsheets/d/16pAz3pOhQEZBhvFNMa5KGgZS6iKWpsKX0pg6tQmwFpo/edit?usp=sharing"",""ตรัง!I228"")+IMPORTRANGE(""https://docs.google.com/spreadsheets/d/1Dj4jcHCTV9JXKCaMoheSXS52JE63kDKyG7bPXnFogHk/edit?usp=shar"&amp;"ing"",""นครศรีธรรมราช!I228"")+IMPORTRANGE(""https://docs.google.com/spreadsheets/d/1iodCdmuK2GR3jzUwk8tpccY2JHQQA-87DLOtJP-ooyU/edit?usp=sharing"",""นราธิวาส!I228"")+IMPORTRANGE(""https://docs.google.com/spreadsheets/d/1SDNX3JhDdYRuIOsj0Wh2M-Qa_eaXl0NbWmh"&amp;"AOTbfQAs/edit?usp=sharing"",""ปัตตานี!I228"")+IMPORTRANGE(""https://docs.google.com/spreadsheets/d/16JDLGguT8s5DsGCND1KcwHP_AWR_zDMTqLHPLJUKhaU/edit?usp=sharing"",""พังงา!I228"")+IMPORTRANGE(""https://docs.google.com/spreadsheets/d/17ht0gPKzzT3PObBL1XJkeR"&amp;"mntBXI7wGjpLV7QorqlTk/edit?usp=sharing"",""พัทลุง!I228"")+IMPORTRANGE(""https://docs.google.com/spreadsheets/d/1rd4qoM1q_hsgaolqNGfrim9gbsoLxQsda4-vOz5x_BM/edit?usp=sharing"",""ภูเก็ต!I228"")+IMPORTRANGE(""https://docs.google.com/spreadsheets/d/1woKwKjgoL"&amp;"ssDvPcPeVyezB5izizAn4X1JDrys69n6xI/edit?usp=sharing"",""ยะลา!I228"")+IMPORTRANGE(""https://docs.google.com/spreadsheets/d/1qfrKjzMhm2HJfxQ-qVlJlJQ25Hne1d0khsySbZyGtPA/edit?usp=sharing"",""ระนอง!I228"")+IMPORTRANGE(""https://docs.google.com/spreadsheets/d/"&amp;"1IbSCnFOKpZsnFogBHJnL_isstZVaOMnFiIN0fGTPZZw/edit?usp=sharing"",""สงขลา!I228"")+IMPORTRANGE(""https://docs.google.com/spreadsheets/d/1q9nWasZJ-K8bFGvbE9n0qSRuKGA4Toe3Y89cKCiVtCU/edit?usp=sharing"",""สตูล!I228"")+IMPORTRANGE(""https://docs.google.com/sprea"&amp;"dsheets/d/18T20gbkS_WBjdscyTOV05cvq_JqvqQ17C81mpxf7Ncs/edit?usp=sharing"",""สุราษฎร์ธานี!I228"")"),239000)</f>
        <v>239000</v>
      </c>
      <c r="J228" s="194">
        <f ca="1">IFERROR(__xludf.DUMMYFUNCTION("IMPORTRANGE(""https://docs.google.com/spreadsheets/d/1kKUcYdkIfrgTSj8iHHHB2MD2FAtwyyocFgqGQn6ADyI/edit?usp=sharing"",""กระบี่!J228"")+IMPORTRANGE(""https://docs.google.com/spreadsheets/d/1GwtLaSlNZkLk7iDqcyZz22giiy40b_usZZBXYciEN1U/edit?usp=sharing"",""ชุ"&amp;"มพร!J228"")+IMPORTRANGE(""https://docs.google.com/spreadsheets/d/16pAz3pOhQEZBhvFNMa5KGgZS6iKWpsKX0pg6tQmwFpo/edit?usp=sharing"",""ตรัง!J228"")+IMPORTRANGE(""https://docs.google.com/spreadsheets/d/1Dj4jcHCTV9JXKCaMoheSXS52JE63kDKyG7bPXnFogHk/edit?usp=shar"&amp;"ing"",""นครศรีธรรมราช!J228"")+IMPORTRANGE(""https://docs.google.com/spreadsheets/d/1iodCdmuK2GR3jzUwk8tpccY2JHQQA-87DLOtJP-ooyU/edit?usp=sharing"",""นราธิวาส!J228"")+IMPORTRANGE(""https://docs.google.com/spreadsheets/d/1SDNX3JhDdYRuIOsj0Wh2M-Qa_eaXl0NbWmh"&amp;"AOTbfQAs/edit?usp=sharing"",""ปัตตานี!J228"")+IMPORTRANGE(""https://docs.google.com/spreadsheets/d/16JDLGguT8s5DsGCND1KcwHP_AWR_zDMTqLHPLJUKhaU/edit?usp=sharing"",""พังงา!J228"")+IMPORTRANGE(""https://docs.google.com/spreadsheets/d/17ht0gPKzzT3PObBL1XJkeR"&amp;"mntBXI7wGjpLV7QorqlTk/edit?usp=sharing"",""พัทลุง!J228"")+IMPORTRANGE(""https://docs.google.com/spreadsheets/d/1rd4qoM1q_hsgaolqNGfrim9gbsoLxQsda4-vOz5x_BM/edit?usp=sharing"",""ภูเก็ต!J228"")+IMPORTRANGE(""https://docs.google.com/spreadsheets/d/1woKwKjgoL"&amp;"ssDvPcPeVyezB5izizAn4X1JDrys69n6xI/edit?usp=sharing"",""ยะลา!J228"")+IMPORTRANGE(""https://docs.google.com/spreadsheets/d/1qfrKjzMhm2HJfxQ-qVlJlJQ25Hne1d0khsySbZyGtPA/edit?usp=sharing"",""ระนอง!J228"")+IMPORTRANGE(""https://docs.google.com/spreadsheets/d/"&amp;"1IbSCnFOKpZsnFogBHJnL_isstZVaOMnFiIN0fGTPZZw/edit?usp=sharing"",""สงขลา!J228"")+IMPORTRANGE(""https://docs.google.com/spreadsheets/d/1q9nWasZJ-K8bFGvbE9n0qSRuKGA4Toe3Y89cKCiVtCU/edit?usp=sharing"",""สตูล!J228"")+IMPORTRANGE(""https://docs.google.com/sprea"&amp;"dsheets/d/18T20gbkS_WBjdscyTOV05cvq_JqvqQ17C81mpxf7Ncs/edit?usp=sharing"",""สุราษฎร์ธานี!J228"")"),0)</f>
        <v>0</v>
      </c>
      <c r="K228" s="182">
        <f t="shared" ref="K228:K231" ca="1" si="105">IF(I228&gt;0,J228*100/I228,0)</f>
        <v>0</v>
      </c>
      <c r="L228" s="165"/>
      <c r="M228" s="165"/>
      <c r="N228" s="165"/>
      <c r="O228" s="165"/>
      <c r="P228" s="165"/>
    </row>
    <row r="229" spans="1:16" ht="18.75" x14ac:dyDescent="0.25">
      <c r="A229" s="167"/>
      <c r="B229" s="168"/>
      <c r="C229" s="168"/>
      <c r="D229" s="168"/>
      <c r="E229" s="173" t="s">
        <v>97</v>
      </c>
      <c r="F229" s="174"/>
      <c r="G229" s="172"/>
      <c r="H229" s="179" t="s">
        <v>93</v>
      </c>
      <c r="I229" s="194">
        <f ca="1">IFERROR(__xludf.DUMMYFUNCTION("IMPORTRANGE(""https://docs.google.com/spreadsheets/d/1kKUcYdkIfrgTSj8iHHHB2MD2FAtwyyocFgqGQn6ADyI/edit?usp=sharing"",""กระบี่!I229"")+IMPORTRANGE(""https://docs.google.com/spreadsheets/d/1GwtLaSlNZkLk7iDqcyZz22giiy40b_usZZBXYciEN1U/edit?usp=sharing"",""ชุ"&amp;"มพร!I229"")+IMPORTRANGE(""https://docs.google.com/spreadsheets/d/16pAz3pOhQEZBhvFNMa5KGgZS6iKWpsKX0pg6tQmwFpo/edit?usp=sharing"",""ตรัง!I229"")+IMPORTRANGE(""https://docs.google.com/spreadsheets/d/1Dj4jcHCTV9JXKCaMoheSXS52JE63kDKyG7bPXnFogHk/edit?usp=shar"&amp;"ing"",""นครศรีธรรมราช!I229"")+IMPORTRANGE(""https://docs.google.com/spreadsheets/d/1iodCdmuK2GR3jzUwk8tpccY2JHQQA-87DLOtJP-ooyU/edit?usp=sharing"",""นราธิวาส!I229"")+IMPORTRANGE(""https://docs.google.com/spreadsheets/d/1SDNX3JhDdYRuIOsj0Wh2M-Qa_eaXl0NbWmh"&amp;"AOTbfQAs/edit?usp=sharing"",""ปัตตานี!I229"")+IMPORTRANGE(""https://docs.google.com/spreadsheets/d/16JDLGguT8s5DsGCND1KcwHP_AWR_zDMTqLHPLJUKhaU/edit?usp=sharing"",""พังงา!I229"")+IMPORTRANGE(""https://docs.google.com/spreadsheets/d/17ht0gPKzzT3PObBL1XJkeR"&amp;"mntBXI7wGjpLV7QorqlTk/edit?usp=sharing"",""พัทลุง!I229"")+IMPORTRANGE(""https://docs.google.com/spreadsheets/d/1rd4qoM1q_hsgaolqNGfrim9gbsoLxQsda4-vOz5x_BM/edit?usp=sharing"",""ภูเก็ต!I229"")+IMPORTRANGE(""https://docs.google.com/spreadsheets/d/1woKwKjgoL"&amp;"ssDvPcPeVyezB5izizAn4X1JDrys69n6xI/edit?usp=sharing"",""ยะลา!I229"")+IMPORTRANGE(""https://docs.google.com/spreadsheets/d/1qfrKjzMhm2HJfxQ-qVlJlJQ25Hne1d0khsySbZyGtPA/edit?usp=sharing"",""ระนอง!I229"")+IMPORTRANGE(""https://docs.google.com/spreadsheets/d/"&amp;"1IbSCnFOKpZsnFogBHJnL_isstZVaOMnFiIN0fGTPZZw/edit?usp=sharing"",""สงขลา!I229"")+IMPORTRANGE(""https://docs.google.com/spreadsheets/d/1q9nWasZJ-K8bFGvbE9n0qSRuKGA4Toe3Y89cKCiVtCU/edit?usp=sharing"",""สตูล!I229"")+IMPORTRANGE(""https://docs.google.com/sprea"&amp;"dsheets/d/18T20gbkS_WBjdscyTOV05cvq_JqvqQ17C81mpxf7Ncs/edit?usp=sharing"",""สุราษฎร์ธานี!I229"")"),239000)</f>
        <v>239000</v>
      </c>
      <c r="J229" s="194">
        <f ca="1">IFERROR(__xludf.DUMMYFUNCTION("IMPORTRANGE(""https://docs.google.com/spreadsheets/d/1kKUcYdkIfrgTSj8iHHHB2MD2FAtwyyocFgqGQn6ADyI/edit?usp=sharing"",""กระบี่!J229"")+IMPORTRANGE(""https://docs.google.com/spreadsheets/d/1GwtLaSlNZkLk7iDqcyZz22giiy40b_usZZBXYciEN1U/edit?usp=sharing"",""ชุ"&amp;"มพร!J229"")+IMPORTRANGE(""https://docs.google.com/spreadsheets/d/16pAz3pOhQEZBhvFNMa5KGgZS6iKWpsKX0pg6tQmwFpo/edit?usp=sharing"",""ตรัง!J229"")+IMPORTRANGE(""https://docs.google.com/spreadsheets/d/1Dj4jcHCTV9JXKCaMoheSXS52JE63kDKyG7bPXnFogHk/edit?usp=shar"&amp;"ing"",""นครศรีธรรมราช!J229"")+IMPORTRANGE(""https://docs.google.com/spreadsheets/d/1iodCdmuK2GR3jzUwk8tpccY2JHQQA-87DLOtJP-ooyU/edit?usp=sharing"",""นราธิวาส!J229"")+IMPORTRANGE(""https://docs.google.com/spreadsheets/d/1SDNX3JhDdYRuIOsj0Wh2M-Qa_eaXl0NbWmh"&amp;"AOTbfQAs/edit?usp=sharing"",""ปัตตานี!J229"")+IMPORTRANGE(""https://docs.google.com/spreadsheets/d/16JDLGguT8s5DsGCND1KcwHP_AWR_zDMTqLHPLJUKhaU/edit?usp=sharing"",""พังงา!J229"")+IMPORTRANGE(""https://docs.google.com/spreadsheets/d/17ht0gPKzzT3PObBL1XJkeR"&amp;"mntBXI7wGjpLV7QorqlTk/edit?usp=sharing"",""พัทลุง!J229"")+IMPORTRANGE(""https://docs.google.com/spreadsheets/d/1rd4qoM1q_hsgaolqNGfrim9gbsoLxQsda4-vOz5x_BM/edit?usp=sharing"",""ภูเก็ต!J229"")+IMPORTRANGE(""https://docs.google.com/spreadsheets/d/1woKwKjgoL"&amp;"ssDvPcPeVyezB5izizAn4X1JDrys69n6xI/edit?usp=sharing"",""ยะลา!J229"")+IMPORTRANGE(""https://docs.google.com/spreadsheets/d/1qfrKjzMhm2HJfxQ-qVlJlJQ25Hne1d0khsySbZyGtPA/edit?usp=sharing"",""ระนอง!J229"")+IMPORTRANGE(""https://docs.google.com/spreadsheets/d/"&amp;"1IbSCnFOKpZsnFogBHJnL_isstZVaOMnFiIN0fGTPZZw/edit?usp=sharing"",""สงขลา!J229"")+IMPORTRANGE(""https://docs.google.com/spreadsheets/d/1q9nWasZJ-K8bFGvbE9n0qSRuKGA4Toe3Y89cKCiVtCU/edit?usp=sharing"",""สตูล!J229"")+IMPORTRANGE(""https://docs.google.com/sprea"&amp;"dsheets/d/18T20gbkS_WBjdscyTOV05cvq_JqvqQ17C81mpxf7Ncs/edit?usp=sharing"",""สุราษฎร์ธานี!J229"")"),0)</f>
        <v>0</v>
      </c>
      <c r="K229" s="182">
        <f t="shared" ca="1" si="105"/>
        <v>0</v>
      </c>
      <c r="L229" s="58"/>
      <c r="M229" s="58"/>
      <c r="N229" s="58"/>
      <c r="O229" s="58"/>
      <c r="P229" s="58"/>
    </row>
    <row r="230" spans="1:16" ht="18.75" x14ac:dyDescent="0.25">
      <c r="A230" s="167"/>
      <c r="B230" s="168"/>
      <c r="C230" s="168"/>
      <c r="D230" s="60" t="s">
        <v>98</v>
      </c>
      <c r="E230" s="174"/>
      <c r="F230" s="174"/>
      <c r="G230" s="172"/>
      <c r="H230" s="179" t="s">
        <v>33</v>
      </c>
      <c r="I230" s="194">
        <f ca="1">IFERROR(__xludf.DUMMYFUNCTION("IMPORTRANGE(""https://docs.google.com/spreadsheets/d/1kKUcYdkIfrgTSj8iHHHB2MD2FAtwyyocFgqGQn6ADyI/edit?usp=sharing"",""กระบี่!I230"")+IMPORTRANGE(""https://docs.google.com/spreadsheets/d/1GwtLaSlNZkLk7iDqcyZz22giiy40b_usZZBXYciEN1U/edit?usp=sharing"",""ชุ"&amp;"มพร!I230"")+IMPORTRANGE(""https://docs.google.com/spreadsheets/d/16pAz3pOhQEZBhvFNMa5KGgZS6iKWpsKX0pg6tQmwFpo/edit?usp=sharing"",""ตรัง!I230"")+IMPORTRANGE(""https://docs.google.com/spreadsheets/d/1Dj4jcHCTV9JXKCaMoheSXS52JE63kDKyG7bPXnFogHk/edit?usp=shar"&amp;"ing"",""นครศรีธรรมราช!I230"")+IMPORTRANGE(""https://docs.google.com/spreadsheets/d/1iodCdmuK2GR3jzUwk8tpccY2JHQQA-87DLOtJP-ooyU/edit?usp=sharing"",""นราธิวาส!I230"")+IMPORTRANGE(""https://docs.google.com/spreadsheets/d/1SDNX3JhDdYRuIOsj0Wh2M-Qa_eaXl0NbWmh"&amp;"AOTbfQAs/edit?usp=sharing"",""ปัตตานี!I230"")+IMPORTRANGE(""https://docs.google.com/spreadsheets/d/16JDLGguT8s5DsGCND1KcwHP_AWR_zDMTqLHPLJUKhaU/edit?usp=sharing"",""พังงา!I230"")+IMPORTRANGE(""https://docs.google.com/spreadsheets/d/17ht0gPKzzT3PObBL1XJkeR"&amp;"mntBXI7wGjpLV7QorqlTk/edit?usp=sharing"",""พัทลุง!I230"")+IMPORTRANGE(""https://docs.google.com/spreadsheets/d/1rd4qoM1q_hsgaolqNGfrim9gbsoLxQsda4-vOz5x_BM/edit?usp=sharing"",""ภูเก็ต!I230"")+IMPORTRANGE(""https://docs.google.com/spreadsheets/d/1woKwKjgoL"&amp;"ssDvPcPeVyezB5izizAn4X1JDrys69n6xI/edit?usp=sharing"",""ยะลา!I230"")+IMPORTRANGE(""https://docs.google.com/spreadsheets/d/1qfrKjzMhm2HJfxQ-qVlJlJQ25Hne1d0khsySbZyGtPA/edit?usp=sharing"",""ระนอง!I230"")+IMPORTRANGE(""https://docs.google.com/spreadsheets/d/"&amp;"1IbSCnFOKpZsnFogBHJnL_isstZVaOMnFiIN0fGTPZZw/edit?usp=sharing"",""สงขลา!I230"")+IMPORTRANGE(""https://docs.google.com/spreadsheets/d/1q9nWasZJ-K8bFGvbE9n0qSRuKGA4Toe3Y89cKCiVtCU/edit?usp=sharing"",""สตูล!I230"")+IMPORTRANGE(""https://docs.google.com/sprea"&amp;"dsheets/d/18T20gbkS_WBjdscyTOV05cvq_JqvqQ17C81mpxf7Ncs/edit?usp=sharing"",""สุราษฎร์ธานี!I230"")"),0)</f>
        <v>0</v>
      </c>
      <c r="J230" s="194">
        <f ca="1">IFERROR(__xludf.DUMMYFUNCTION("IMPORTRANGE(""https://docs.google.com/spreadsheets/d/1kKUcYdkIfrgTSj8iHHHB2MD2FAtwyyocFgqGQn6ADyI/edit?usp=sharing"",""กระบี่!J230"")+IMPORTRANGE(""https://docs.google.com/spreadsheets/d/1GwtLaSlNZkLk7iDqcyZz22giiy40b_usZZBXYciEN1U/edit?usp=sharing"",""ชุ"&amp;"มพร!J230"")+IMPORTRANGE(""https://docs.google.com/spreadsheets/d/16pAz3pOhQEZBhvFNMa5KGgZS6iKWpsKX0pg6tQmwFpo/edit?usp=sharing"",""ตรัง!J230"")+IMPORTRANGE(""https://docs.google.com/spreadsheets/d/1Dj4jcHCTV9JXKCaMoheSXS52JE63kDKyG7bPXnFogHk/edit?usp=shar"&amp;"ing"",""นครศรีธรรมราช!J230"")+IMPORTRANGE(""https://docs.google.com/spreadsheets/d/1iodCdmuK2GR3jzUwk8tpccY2JHQQA-87DLOtJP-ooyU/edit?usp=sharing"",""นราธิวาส!J230"")+IMPORTRANGE(""https://docs.google.com/spreadsheets/d/1SDNX3JhDdYRuIOsj0Wh2M-Qa_eaXl0NbWmh"&amp;"AOTbfQAs/edit?usp=sharing"",""ปัตตานี!J230"")+IMPORTRANGE(""https://docs.google.com/spreadsheets/d/16JDLGguT8s5DsGCND1KcwHP_AWR_zDMTqLHPLJUKhaU/edit?usp=sharing"",""พังงา!J230"")+IMPORTRANGE(""https://docs.google.com/spreadsheets/d/17ht0gPKzzT3PObBL1XJkeR"&amp;"mntBXI7wGjpLV7QorqlTk/edit?usp=sharing"",""พัทลุง!J230"")+IMPORTRANGE(""https://docs.google.com/spreadsheets/d/1rd4qoM1q_hsgaolqNGfrim9gbsoLxQsda4-vOz5x_BM/edit?usp=sharing"",""ภูเก็ต!J230"")+IMPORTRANGE(""https://docs.google.com/spreadsheets/d/1woKwKjgoL"&amp;"ssDvPcPeVyezB5izizAn4X1JDrys69n6xI/edit?usp=sharing"",""ยะลา!J230"")+IMPORTRANGE(""https://docs.google.com/spreadsheets/d/1qfrKjzMhm2HJfxQ-qVlJlJQ25Hne1d0khsySbZyGtPA/edit?usp=sharing"",""ระนอง!J230"")+IMPORTRANGE(""https://docs.google.com/spreadsheets/d/"&amp;"1IbSCnFOKpZsnFogBHJnL_isstZVaOMnFiIN0fGTPZZw/edit?usp=sharing"",""สงขลา!J230"")+IMPORTRANGE(""https://docs.google.com/spreadsheets/d/1q9nWasZJ-K8bFGvbE9n0qSRuKGA4Toe3Y89cKCiVtCU/edit?usp=sharing"",""สตูล!J230"")+IMPORTRANGE(""https://docs.google.com/sprea"&amp;"dsheets/d/18T20gbkS_WBjdscyTOV05cvq_JqvqQ17C81mpxf7Ncs/edit?usp=sharing"",""สุราษฎร์ธานี!J230"")"),0)</f>
        <v>0</v>
      </c>
      <c r="K230" s="182">
        <f t="shared" ca="1" si="105"/>
        <v>0</v>
      </c>
      <c r="L230" s="58"/>
      <c r="M230" s="58"/>
      <c r="N230" s="58"/>
      <c r="O230" s="58"/>
      <c r="P230" s="58"/>
    </row>
    <row r="231" spans="1:16" ht="19.5" x14ac:dyDescent="0.3">
      <c r="A231" s="279"/>
      <c r="B231" s="280"/>
      <c r="C231" s="281" t="s">
        <v>99</v>
      </c>
      <c r="D231" s="282"/>
      <c r="E231" s="282"/>
      <c r="F231" s="282"/>
      <c r="G231" s="283"/>
      <c r="H231" s="284" t="s">
        <v>33</v>
      </c>
      <c r="I231" s="285">
        <f t="shared" ref="I231:J231" si="106">I242+I253</f>
        <v>0</v>
      </c>
      <c r="J231" s="285">
        <f t="shared" si="106"/>
        <v>0</v>
      </c>
      <c r="K231" s="286">
        <f t="shared" si="105"/>
        <v>0</v>
      </c>
      <c r="L231" s="287"/>
      <c r="M231" s="287"/>
      <c r="N231" s="287"/>
      <c r="O231" s="287"/>
      <c r="P231" s="287"/>
    </row>
    <row r="232" spans="1:16" ht="19.5" x14ac:dyDescent="0.3">
      <c r="A232" s="157"/>
      <c r="B232" s="53"/>
      <c r="C232" s="158" t="s">
        <v>16</v>
      </c>
      <c r="D232" s="159" t="s">
        <v>17</v>
      </c>
      <c r="E232" s="53"/>
      <c r="F232" s="53"/>
      <c r="G232" s="55"/>
      <c r="H232" s="289" t="s">
        <v>12</v>
      </c>
      <c r="I232" s="164"/>
      <c r="J232" s="164"/>
      <c r="K232" s="165"/>
      <c r="L232" s="161">
        <f ca="1">L233+L234+L235+L236</f>
        <v>209600</v>
      </c>
      <c r="M232" s="58"/>
      <c r="N232" s="161">
        <f ca="1">N233+N234+N235+N236</f>
        <v>0</v>
      </c>
      <c r="O232" s="161">
        <f ca="1">IF(L232&gt;0,N232*100/L232,0)</f>
        <v>0</v>
      </c>
      <c r="P232" s="58"/>
    </row>
    <row r="233" spans="1:16" ht="18.75" x14ac:dyDescent="0.25">
      <c r="A233" s="157"/>
      <c r="B233" s="278"/>
      <c r="C233" s="53"/>
      <c r="D233" s="60" t="s">
        <v>80</v>
      </c>
      <c r="E233" s="53"/>
      <c r="F233" s="53"/>
      <c r="G233" s="55"/>
      <c r="H233" s="163" t="s">
        <v>12</v>
      </c>
      <c r="I233" s="164"/>
      <c r="J233" s="164"/>
      <c r="K233" s="165"/>
      <c r="L233" s="59">
        <f ca="1">IFERROR(__xludf.DUMMYFUNCTION("IMPORTRANGE(""https://docs.google.com/spreadsheets/d/1kKUcYdkIfrgTSj8iHHHB2MD2FAtwyyocFgqGQn6ADyI/edit?usp=sharing"",""กระบี่!L233"")+IMPORTRANGE(""https://docs.google.com/spreadsheets/d/1GwtLaSlNZkLk7iDqcyZz22giiy40b_usZZBXYciEN1U/edit?usp=sharing"",""ชุ"&amp;"มพร!L233"")+IMPORTRANGE(""https://docs.google.com/spreadsheets/d/16pAz3pOhQEZBhvFNMa5KGgZS6iKWpsKX0pg6tQmwFpo/edit?usp=sharing"",""ตรัง!L233"")+IMPORTRANGE(""https://docs.google.com/spreadsheets/d/1Dj4jcHCTV9JXKCaMoheSXS52JE63kDKyG7bPXnFogHk/edit?usp=shar"&amp;"ing"",""นครศรีธรรมราช!L233"")+IMPORTRANGE(""https://docs.google.com/spreadsheets/d/1iodCdmuK2GR3jzUwk8tpccY2JHQQA-87DLOtJP-ooyU/edit?usp=sharing"",""นราธิวาส!L233"")+IMPORTRANGE(""https://docs.google.com/spreadsheets/d/1SDNX3JhDdYRuIOsj0Wh2M-Qa_eaXl0NbWmh"&amp;"AOTbfQAs/edit?usp=sharing"",""ปัตตานี!L233"")+IMPORTRANGE(""https://docs.google.com/spreadsheets/d/16JDLGguT8s5DsGCND1KcwHP_AWR_zDMTqLHPLJUKhaU/edit?usp=sharing"",""พังงา!L233"")+IMPORTRANGE(""https://docs.google.com/spreadsheets/d/17ht0gPKzzT3PObBL1XJkeR"&amp;"mntBXI7wGjpLV7QorqlTk/edit?usp=sharing"",""พัทลุง!L233"")+IMPORTRANGE(""https://docs.google.com/spreadsheets/d/1rd4qoM1q_hsgaolqNGfrim9gbsoLxQsda4-vOz5x_BM/edit?usp=sharing"",""ภูเก็ต!L233"")+IMPORTRANGE(""https://docs.google.com/spreadsheets/d/1woKwKjgoL"&amp;"ssDvPcPeVyezB5izizAn4X1JDrys69n6xI/edit?usp=sharing"",""ยะลา!L233"")+IMPORTRANGE(""https://docs.google.com/spreadsheets/d/1qfrKjzMhm2HJfxQ-qVlJlJQ25Hne1d0khsySbZyGtPA/edit?usp=sharing"",""ระนอง!L233"")+IMPORTRANGE(""https://docs.google.com/spreadsheets/d/"&amp;"1IbSCnFOKpZsnFogBHJnL_isstZVaOMnFiIN0fGTPZZw/edit?usp=sharing"",""สงขลา!L233"")+IMPORTRANGE(""https://docs.google.com/spreadsheets/d/1q9nWasZJ-K8bFGvbE9n0qSRuKGA4Toe3Y89cKCiVtCU/edit?usp=sharing"",""สตูล!L233"")+IMPORTRANGE(""https://docs.google.com/sprea"&amp;"dsheets/d/18T20gbkS_WBjdscyTOV05cvq_JqvqQ17C81mpxf7Ncs/edit?usp=sharing"",""สุราษฎร์ธานี!L233"")"),101000)</f>
        <v>101000</v>
      </c>
      <c r="M233" s="58"/>
      <c r="N233" s="59">
        <f ca="1">IFERROR(__xludf.DUMMYFUNCTION("IMPORTRANGE(""https://docs.google.com/spreadsheets/d/1kKUcYdkIfrgTSj8iHHHB2MD2FAtwyyocFgqGQn6ADyI/edit?usp=sharing"",""กระบี่!N233"")+IMPORTRANGE(""https://docs.google.com/spreadsheets/d/1GwtLaSlNZkLk7iDqcyZz22giiy40b_usZZBXYciEN1U/edit?usp=sharing"",""ชุ"&amp;"มพร!N233"")+IMPORTRANGE(""https://docs.google.com/spreadsheets/d/16pAz3pOhQEZBhvFNMa5KGgZS6iKWpsKX0pg6tQmwFpo/edit?usp=sharing"",""ตรัง!N233"")+IMPORTRANGE(""https://docs.google.com/spreadsheets/d/1Dj4jcHCTV9JXKCaMoheSXS52JE63kDKyG7bPXnFogHk/edit?usp=shar"&amp;"ing"",""นครศรีธรรมราช!N233"")+IMPORTRANGE(""https://docs.google.com/spreadsheets/d/1iodCdmuK2GR3jzUwk8tpccY2JHQQA-87DLOtJP-ooyU/edit?usp=sharing"",""นราธิวาส!N233"")+IMPORTRANGE(""https://docs.google.com/spreadsheets/d/1SDNX3JhDdYRuIOsj0Wh2M-Qa_eaXl0NbWmh"&amp;"AOTbfQAs/edit?usp=sharing"",""ปัตตานี!N233"")+IMPORTRANGE(""https://docs.google.com/spreadsheets/d/16JDLGguT8s5DsGCND1KcwHP_AWR_zDMTqLHPLJUKhaU/edit?usp=sharing"",""พังงา!N233"")+IMPORTRANGE(""https://docs.google.com/spreadsheets/d/17ht0gPKzzT3PObBL1XJkeR"&amp;"mntBXI7wGjpLV7QorqlTk/edit?usp=sharing"",""พัทลุง!N233"")+IMPORTRANGE(""https://docs.google.com/spreadsheets/d/1rd4qoM1q_hsgaolqNGfrim9gbsoLxQsda4-vOz5x_BM/edit?usp=sharing"",""ภูเก็ต!N233"")+IMPORTRANGE(""https://docs.google.com/spreadsheets/d/1woKwKjgoL"&amp;"ssDvPcPeVyezB5izizAn4X1JDrys69n6xI/edit?usp=sharing"",""ยะลา!N233"")+IMPORTRANGE(""https://docs.google.com/spreadsheets/d/1qfrKjzMhm2HJfxQ-qVlJlJQ25Hne1d0khsySbZyGtPA/edit?usp=sharing"",""ระนอง!N233"")+IMPORTRANGE(""https://docs.google.com/spreadsheets/d/"&amp;"1IbSCnFOKpZsnFogBHJnL_isstZVaOMnFiIN0fGTPZZw/edit?usp=sharing"",""สงขลา!N233"")+IMPORTRANGE(""https://docs.google.com/spreadsheets/d/1q9nWasZJ-K8bFGvbE9n0qSRuKGA4Toe3Y89cKCiVtCU/edit?usp=sharing"",""สตูล!N233"")+IMPORTRANGE(""https://docs.google.com/sprea"&amp;"dsheets/d/18T20gbkS_WBjdscyTOV05cvq_JqvqQ17C81mpxf7Ncs/edit?usp=sharing"",""สุราษฎร์ธานี!N233"")"),0)</f>
        <v>0</v>
      </c>
      <c r="O233" s="58"/>
      <c r="P233" s="58"/>
    </row>
    <row r="234" spans="1:16" ht="18.75" x14ac:dyDescent="0.25">
      <c r="A234" s="274"/>
      <c r="B234" s="278"/>
      <c r="C234" s="278"/>
      <c r="D234" s="60" t="s">
        <v>82</v>
      </c>
      <c r="E234" s="53"/>
      <c r="F234" s="53"/>
      <c r="G234" s="55"/>
      <c r="H234" s="163" t="s">
        <v>12</v>
      </c>
      <c r="I234" s="57"/>
      <c r="J234" s="57"/>
      <c r="K234" s="58"/>
      <c r="L234" s="59">
        <f ca="1">IFERROR(__xludf.DUMMYFUNCTION("IMPORTRANGE(""https://docs.google.com/spreadsheets/d/1kKUcYdkIfrgTSj8iHHHB2MD2FAtwyyocFgqGQn6ADyI/edit?usp=sharing"",""กระบี่!L234"")+IMPORTRANGE(""https://docs.google.com/spreadsheets/d/1GwtLaSlNZkLk7iDqcyZz22giiy40b_usZZBXYciEN1U/edit?usp=sharing"",""ชุ"&amp;"มพร!L234"")+IMPORTRANGE(""https://docs.google.com/spreadsheets/d/16pAz3pOhQEZBhvFNMa5KGgZS6iKWpsKX0pg6tQmwFpo/edit?usp=sharing"",""ตรัง!L234"")+IMPORTRANGE(""https://docs.google.com/spreadsheets/d/1Dj4jcHCTV9JXKCaMoheSXS52JE63kDKyG7bPXnFogHk/edit?usp=shar"&amp;"ing"",""นครศรีธรรมราช!L234"")+IMPORTRANGE(""https://docs.google.com/spreadsheets/d/1iodCdmuK2GR3jzUwk8tpccY2JHQQA-87DLOtJP-ooyU/edit?usp=sharing"",""นราธิวาส!L234"")+IMPORTRANGE(""https://docs.google.com/spreadsheets/d/1SDNX3JhDdYRuIOsj0Wh2M-Qa_eaXl0NbWmh"&amp;"AOTbfQAs/edit?usp=sharing"",""ปัตตานี!L234"")+IMPORTRANGE(""https://docs.google.com/spreadsheets/d/16JDLGguT8s5DsGCND1KcwHP_AWR_zDMTqLHPLJUKhaU/edit?usp=sharing"",""พังงา!L234"")+IMPORTRANGE(""https://docs.google.com/spreadsheets/d/17ht0gPKzzT3PObBL1XJkeR"&amp;"mntBXI7wGjpLV7QorqlTk/edit?usp=sharing"",""พัทลุง!L234"")+IMPORTRANGE(""https://docs.google.com/spreadsheets/d/1rd4qoM1q_hsgaolqNGfrim9gbsoLxQsda4-vOz5x_BM/edit?usp=sharing"",""ภูเก็ต!L234"")+IMPORTRANGE(""https://docs.google.com/spreadsheets/d/1woKwKjgoL"&amp;"ssDvPcPeVyezB5izizAn4X1JDrys69n6xI/edit?usp=sharing"",""ยะลา!L234"")+IMPORTRANGE(""https://docs.google.com/spreadsheets/d/1qfrKjzMhm2HJfxQ-qVlJlJQ25Hne1d0khsySbZyGtPA/edit?usp=sharing"",""ระนอง!L234"")+IMPORTRANGE(""https://docs.google.com/spreadsheets/d/"&amp;"1IbSCnFOKpZsnFogBHJnL_isstZVaOMnFiIN0fGTPZZw/edit?usp=sharing"",""สงขลา!L234"")+IMPORTRANGE(""https://docs.google.com/spreadsheets/d/1q9nWasZJ-K8bFGvbE9n0qSRuKGA4Toe3Y89cKCiVtCU/edit?usp=sharing"",""สตูล!L234"")+IMPORTRANGE(""https://docs.google.com/sprea"&amp;"dsheets/d/18T20gbkS_WBjdscyTOV05cvq_JqvqQ17C81mpxf7Ncs/edit?usp=sharing"",""สุราษฎร์ธานี!L234"")"),5000)</f>
        <v>5000</v>
      </c>
      <c r="M234" s="58"/>
      <c r="N234" s="59">
        <f ca="1">IFERROR(__xludf.DUMMYFUNCTION("IMPORTRANGE(""https://docs.google.com/spreadsheets/d/1kKUcYdkIfrgTSj8iHHHB2MD2FAtwyyocFgqGQn6ADyI/edit?usp=sharing"",""กระบี่!N234"")+IMPORTRANGE(""https://docs.google.com/spreadsheets/d/1GwtLaSlNZkLk7iDqcyZz22giiy40b_usZZBXYciEN1U/edit?usp=sharing"",""ชุ"&amp;"มพร!N234"")+IMPORTRANGE(""https://docs.google.com/spreadsheets/d/16pAz3pOhQEZBhvFNMa5KGgZS6iKWpsKX0pg6tQmwFpo/edit?usp=sharing"",""ตรัง!N234"")+IMPORTRANGE(""https://docs.google.com/spreadsheets/d/1Dj4jcHCTV9JXKCaMoheSXS52JE63kDKyG7bPXnFogHk/edit?usp=shar"&amp;"ing"",""นครศรีธรรมราช!N234"")+IMPORTRANGE(""https://docs.google.com/spreadsheets/d/1iodCdmuK2GR3jzUwk8tpccY2JHQQA-87DLOtJP-ooyU/edit?usp=sharing"",""นราธิวาส!N234"")+IMPORTRANGE(""https://docs.google.com/spreadsheets/d/1SDNX3JhDdYRuIOsj0Wh2M-Qa_eaXl0NbWmh"&amp;"AOTbfQAs/edit?usp=sharing"",""ปัตตานี!N234"")+IMPORTRANGE(""https://docs.google.com/spreadsheets/d/16JDLGguT8s5DsGCND1KcwHP_AWR_zDMTqLHPLJUKhaU/edit?usp=sharing"",""พังงา!N234"")+IMPORTRANGE(""https://docs.google.com/spreadsheets/d/17ht0gPKzzT3PObBL1XJkeR"&amp;"mntBXI7wGjpLV7QorqlTk/edit?usp=sharing"",""พัทลุง!N234"")+IMPORTRANGE(""https://docs.google.com/spreadsheets/d/1rd4qoM1q_hsgaolqNGfrim9gbsoLxQsda4-vOz5x_BM/edit?usp=sharing"",""ภูเก็ต!N234"")+IMPORTRANGE(""https://docs.google.com/spreadsheets/d/1woKwKjgoL"&amp;"ssDvPcPeVyezB5izizAn4X1JDrys69n6xI/edit?usp=sharing"",""ยะลา!N234"")+IMPORTRANGE(""https://docs.google.com/spreadsheets/d/1qfrKjzMhm2HJfxQ-qVlJlJQ25Hne1d0khsySbZyGtPA/edit?usp=sharing"",""ระนอง!N234"")+IMPORTRANGE(""https://docs.google.com/spreadsheets/d/"&amp;"1IbSCnFOKpZsnFogBHJnL_isstZVaOMnFiIN0fGTPZZw/edit?usp=sharing"",""สงขลา!N234"")+IMPORTRANGE(""https://docs.google.com/spreadsheets/d/1q9nWasZJ-K8bFGvbE9n0qSRuKGA4Toe3Y89cKCiVtCU/edit?usp=sharing"",""สตูล!N234"")+IMPORTRANGE(""https://docs.google.com/sprea"&amp;"dsheets/d/18T20gbkS_WBjdscyTOV05cvq_JqvqQ17C81mpxf7Ncs/edit?usp=sharing"",""สุราษฎร์ธานี!N234"")"),0)</f>
        <v>0</v>
      </c>
      <c r="O234" s="58"/>
      <c r="P234" s="58"/>
    </row>
    <row r="235" spans="1:16" ht="18.75" x14ac:dyDescent="0.25">
      <c r="A235" s="274"/>
      <c r="B235" s="278"/>
      <c r="C235" s="278"/>
      <c r="D235" s="60" t="s">
        <v>100</v>
      </c>
      <c r="E235" s="53"/>
      <c r="F235" s="53"/>
      <c r="G235" s="55"/>
      <c r="H235" s="163" t="s">
        <v>12</v>
      </c>
      <c r="I235" s="57"/>
      <c r="J235" s="57"/>
      <c r="K235" s="58"/>
      <c r="L235" s="59">
        <f ca="1">IFERROR(__xludf.DUMMYFUNCTION("IMPORTRANGE(""https://docs.google.com/spreadsheets/d/1kKUcYdkIfrgTSj8iHHHB2MD2FAtwyyocFgqGQn6ADyI/edit?usp=sharing"",""กระบี่!L235"")+IMPORTRANGE(""https://docs.google.com/spreadsheets/d/1GwtLaSlNZkLk7iDqcyZz22giiy40b_usZZBXYciEN1U/edit?usp=sharing"",""ชุ"&amp;"มพร!L235"")+IMPORTRANGE(""https://docs.google.com/spreadsheets/d/16pAz3pOhQEZBhvFNMa5KGgZS6iKWpsKX0pg6tQmwFpo/edit?usp=sharing"",""ตรัง!L235"")+IMPORTRANGE(""https://docs.google.com/spreadsheets/d/1Dj4jcHCTV9JXKCaMoheSXS52JE63kDKyG7bPXnFogHk/edit?usp=shar"&amp;"ing"",""นครศรีธรรมราช!L235"")+IMPORTRANGE(""https://docs.google.com/spreadsheets/d/1iodCdmuK2GR3jzUwk8tpccY2JHQQA-87DLOtJP-ooyU/edit?usp=sharing"",""นราธิวาส!L235"")+IMPORTRANGE(""https://docs.google.com/spreadsheets/d/1SDNX3JhDdYRuIOsj0Wh2M-Qa_eaXl0NbWmh"&amp;"AOTbfQAs/edit?usp=sharing"",""ปัตตานี!L235"")+IMPORTRANGE(""https://docs.google.com/spreadsheets/d/16JDLGguT8s5DsGCND1KcwHP_AWR_zDMTqLHPLJUKhaU/edit?usp=sharing"",""พังงา!L235"")+IMPORTRANGE(""https://docs.google.com/spreadsheets/d/17ht0gPKzzT3PObBL1XJkeR"&amp;"mntBXI7wGjpLV7QorqlTk/edit?usp=sharing"",""พัทลุง!L235"")+IMPORTRANGE(""https://docs.google.com/spreadsheets/d/1rd4qoM1q_hsgaolqNGfrim9gbsoLxQsda4-vOz5x_BM/edit?usp=sharing"",""ภูเก็ต!L235"")+IMPORTRANGE(""https://docs.google.com/spreadsheets/d/1woKwKjgoL"&amp;"ssDvPcPeVyezB5izizAn4X1JDrys69n6xI/edit?usp=sharing"",""ยะลา!L235"")+IMPORTRANGE(""https://docs.google.com/spreadsheets/d/1qfrKjzMhm2HJfxQ-qVlJlJQ25Hne1d0khsySbZyGtPA/edit?usp=sharing"",""ระนอง!L235"")+IMPORTRANGE(""https://docs.google.com/spreadsheets/d/"&amp;"1IbSCnFOKpZsnFogBHJnL_isstZVaOMnFiIN0fGTPZZw/edit?usp=sharing"",""สงขลา!L235"")+IMPORTRANGE(""https://docs.google.com/spreadsheets/d/1q9nWasZJ-K8bFGvbE9n0qSRuKGA4Toe3Y89cKCiVtCU/edit?usp=sharing"",""สตูล!L235"")+IMPORTRANGE(""https://docs.google.com/sprea"&amp;"dsheets/d/18T20gbkS_WBjdscyTOV05cvq_JqvqQ17C81mpxf7Ncs/edit?usp=sharing"",""สุราษฎร์ธานี!L235"")"),45600)</f>
        <v>45600</v>
      </c>
      <c r="M235" s="58"/>
      <c r="N235" s="59">
        <f ca="1">IFERROR(__xludf.DUMMYFUNCTION("IMPORTRANGE(""https://docs.google.com/spreadsheets/d/1kKUcYdkIfrgTSj8iHHHB2MD2FAtwyyocFgqGQn6ADyI/edit?usp=sharing"",""กระบี่!N235"")+IMPORTRANGE(""https://docs.google.com/spreadsheets/d/1GwtLaSlNZkLk7iDqcyZz22giiy40b_usZZBXYciEN1U/edit?usp=sharing"",""ชุ"&amp;"มพร!N235"")+IMPORTRANGE(""https://docs.google.com/spreadsheets/d/16pAz3pOhQEZBhvFNMa5KGgZS6iKWpsKX0pg6tQmwFpo/edit?usp=sharing"",""ตรัง!N235"")+IMPORTRANGE(""https://docs.google.com/spreadsheets/d/1Dj4jcHCTV9JXKCaMoheSXS52JE63kDKyG7bPXnFogHk/edit?usp=shar"&amp;"ing"",""นครศรีธรรมราช!N235"")+IMPORTRANGE(""https://docs.google.com/spreadsheets/d/1iodCdmuK2GR3jzUwk8tpccY2JHQQA-87DLOtJP-ooyU/edit?usp=sharing"",""นราธิวาส!N235"")+IMPORTRANGE(""https://docs.google.com/spreadsheets/d/1SDNX3JhDdYRuIOsj0Wh2M-Qa_eaXl0NbWmh"&amp;"AOTbfQAs/edit?usp=sharing"",""ปัตตานี!N235"")+IMPORTRANGE(""https://docs.google.com/spreadsheets/d/16JDLGguT8s5DsGCND1KcwHP_AWR_zDMTqLHPLJUKhaU/edit?usp=sharing"",""พังงา!N235"")+IMPORTRANGE(""https://docs.google.com/spreadsheets/d/17ht0gPKzzT3PObBL1XJkeR"&amp;"mntBXI7wGjpLV7QorqlTk/edit?usp=sharing"",""พัทลุง!N235"")+IMPORTRANGE(""https://docs.google.com/spreadsheets/d/1rd4qoM1q_hsgaolqNGfrim9gbsoLxQsda4-vOz5x_BM/edit?usp=sharing"",""ภูเก็ต!N235"")+IMPORTRANGE(""https://docs.google.com/spreadsheets/d/1woKwKjgoL"&amp;"ssDvPcPeVyezB5izizAn4X1JDrys69n6xI/edit?usp=sharing"",""ยะลา!N235"")+IMPORTRANGE(""https://docs.google.com/spreadsheets/d/1qfrKjzMhm2HJfxQ-qVlJlJQ25Hne1d0khsySbZyGtPA/edit?usp=sharing"",""ระนอง!N235"")+IMPORTRANGE(""https://docs.google.com/spreadsheets/d/"&amp;"1IbSCnFOKpZsnFogBHJnL_isstZVaOMnFiIN0fGTPZZw/edit?usp=sharing"",""สงขลา!N235"")+IMPORTRANGE(""https://docs.google.com/spreadsheets/d/1q9nWasZJ-K8bFGvbE9n0qSRuKGA4Toe3Y89cKCiVtCU/edit?usp=sharing"",""สตูล!N235"")+IMPORTRANGE(""https://docs.google.com/sprea"&amp;"dsheets/d/18T20gbkS_WBjdscyTOV05cvq_JqvqQ17C81mpxf7Ncs/edit?usp=sharing"",""สุราษฎร์ธานี!N235"")"),0)</f>
        <v>0</v>
      </c>
      <c r="O235" s="58"/>
      <c r="P235" s="58"/>
    </row>
    <row r="236" spans="1:16" ht="18.75" x14ac:dyDescent="0.25">
      <c r="A236" s="274"/>
      <c r="B236" s="278"/>
      <c r="C236" s="278"/>
      <c r="D236" s="60" t="s">
        <v>101</v>
      </c>
      <c r="E236" s="53"/>
      <c r="F236" s="53"/>
      <c r="G236" s="55"/>
      <c r="H236" s="163" t="s">
        <v>12</v>
      </c>
      <c r="I236" s="57"/>
      <c r="J236" s="57"/>
      <c r="K236" s="58"/>
      <c r="L236" s="59">
        <f ca="1">IFERROR(__xludf.DUMMYFUNCTION("IMPORTRANGE(""https://docs.google.com/spreadsheets/d/1kKUcYdkIfrgTSj8iHHHB2MD2FAtwyyocFgqGQn6ADyI/edit?usp=sharing"",""กระบี่!L236"")+IMPORTRANGE(""https://docs.google.com/spreadsheets/d/1GwtLaSlNZkLk7iDqcyZz22giiy40b_usZZBXYciEN1U/edit?usp=sharing"",""ชุ"&amp;"มพร!L236"")+IMPORTRANGE(""https://docs.google.com/spreadsheets/d/16pAz3pOhQEZBhvFNMa5KGgZS6iKWpsKX0pg6tQmwFpo/edit?usp=sharing"",""ตรัง!L236"")+IMPORTRANGE(""https://docs.google.com/spreadsheets/d/1Dj4jcHCTV9JXKCaMoheSXS52JE63kDKyG7bPXnFogHk/edit?usp=shar"&amp;"ing"",""นครศรีธรรมราช!L236"")+IMPORTRANGE(""https://docs.google.com/spreadsheets/d/1iodCdmuK2GR3jzUwk8tpccY2JHQQA-87DLOtJP-ooyU/edit?usp=sharing"",""นราธิวาส!L236"")+IMPORTRANGE(""https://docs.google.com/spreadsheets/d/1SDNX3JhDdYRuIOsj0Wh2M-Qa_eaXl0NbWmh"&amp;"AOTbfQAs/edit?usp=sharing"",""ปัตตานี!L236"")+IMPORTRANGE(""https://docs.google.com/spreadsheets/d/16JDLGguT8s5DsGCND1KcwHP_AWR_zDMTqLHPLJUKhaU/edit?usp=sharing"",""พังงา!L236"")+IMPORTRANGE(""https://docs.google.com/spreadsheets/d/17ht0gPKzzT3PObBL1XJkeR"&amp;"mntBXI7wGjpLV7QorqlTk/edit?usp=sharing"",""พัทลุง!L236"")+IMPORTRANGE(""https://docs.google.com/spreadsheets/d/1rd4qoM1q_hsgaolqNGfrim9gbsoLxQsda4-vOz5x_BM/edit?usp=sharing"",""ภูเก็ต!L236"")+IMPORTRANGE(""https://docs.google.com/spreadsheets/d/1woKwKjgoL"&amp;"ssDvPcPeVyezB5izizAn4X1JDrys69n6xI/edit?usp=sharing"",""ยะลา!L236"")+IMPORTRANGE(""https://docs.google.com/spreadsheets/d/1qfrKjzMhm2HJfxQ-qVlJlJQ25Hne1d0khsySbZyGtPA/edit?usp=sharing"",""ระนอง!L236"")+IMPORTRANGE(""https://docs.google.com/spreadsheets/d/"&amp;"1IbSCnFOKpZsnFogBHJnL_isstZVaOMnFiIN0fGTPZZw/edit?usp=sharing"",""สงขลา!L236"")+IMPORTRANGE(""https://docs.google.com/spreadsheets/d/1q9nWasZJ-K8bFGvbE9n0qSRuKGA4Toe3Y89cKCiVtCU/edit?usp=sharing"",""สตูล!L236"")+IMPORTRANGE(""https://docs.google.com/sprea"&amp;"dsheets/d/18T20gbkS_WBjdscyTOV05cvq_JqvqQ17C81mpxf7Ncs/edit?usp=sharing"",""สุราษฎร์ธานี!L236"")"),58000)</f>
        <v>58000</v>
      </c>
      <c r="M236" s="58"/>
      <c r="N236" s="59">
        <f ca="1">IFERROR(__xludf.DUMMYFUNCTION("IMPORTRANGE(""https://docs.google.com/spreadsheets/d/1kKUcYdkIfrgTSj8iHHHB2MD2FAtwyyocFgqGQn6ADyI/edit?usp=sharing"",""กระบี่!N236"")+IMPORTRANGE(""https://docs.google.com/spreadsheets/d/1GwtLaSlNZkLk7iDqcyZz22giiy40b_usZZBXYciEN1U/edit?usp=sharing"",""ชุ"&amp;"มพร!N236"")+IMPORTRANGE(""https://docs.google.com/spreadsheets/d/16pAz3pOhQEZBhvFNMa5KGgZS6iKWpsKX0pg6tQmwFpo/edit?usp=sharing"",""ตรัง!N236"")+IMPORTRANGE(""https://docs.google.com/spreadsheets/d/1Dj4jcHCTV9JXKCaMoheSXS52JE63kDKyG7bPXnFogHk/edit?usp=shar"&amp;"ing"",""นครศรีธรรมราช!N236"")+IMPORTRANGE(""https://docs.google.com/spreadsheets/d/1iodCdmuK2GR3jzUwk8tpccY2JHQQA-87DLOtJP-ooyU/edit?usp=sharing"",""นราธิวาส!N236"")+IMPORTRANGE(""https://docs.google.com/spreadsheets/d/1SDNX3JhDdYRuIOsj0Wh2M-Qa_eaXl0NbWmh"&amp;"AOTbfQAs/edit?usp=sharing"",""ปัตตานี!N236"")+IMPORTRANGE(""https://docs.google.com/spreadsheets/d/16JDLGguT8s5DsGCND1KcwHP_AWR_zDMTqLHPLJUKhaU/edit?usp=sharing"",""พังงา!N236"")+IMPORTRANGE(""https://docs.google.com/spreadsheets/d/17ht0gPKzzT3PObBL1XJkeR"&amp;"mntBXI7wGjpLV7QorqlTk/edit?usp=sharing"",""พัทลุง!N236"")+IMPORTRANGE(""https://docs.google.com/spreadsheets/d/1rd4qoM1q_hsgaolqNGfrim9gbsoLxQsda4-vOz5x_BM/edit?usp=sharing"",""ภูเก็ต!N236"")+IMPORTRANGE(""https://docs.google.com/spreadsheets/d/1woKwKjgoL"&amp;"ssDvPcPeVyezB5izizAn4X1JDrys69n6xI/edit?usp=sharing"",""ยะลา!N236"")+IMPORTRANGE(""https://docs.google.com/spreadsheets/d/1qfrKjzMhm2HJfxQ-qVlJlJQ25Hne1d0khsySbZyGtPA/edit?usp=sharing"",""ระนอง!N236"")+IMPORTRANGE(""https://docs.google.com/spreadsheets/d/"&amp;"1IbSCnFOKpZsnFogBHJnL_isstZVaOMnFiIN0fGTPZZw/edit?usp=sharing"",""สงขลา!N236"")+IMPORTRANGE(""https://docs.google.com/spreadsheets/d/1q9nWasZJ-K8bFGvbE9n0qSRuKGA4Toe3Y89cKCiVtCU/edit?usp=sharing"",""สตูล!N236"")+IMPORTRANGE(""https://docs.google.com/sprea"&amp;"dsheets/d/18T20gbkS_WBjdscyTOV05cvq_JqvqQ17C81mpxf7Ncs/edit?usp=sharing"",""สุราษฎร์ธานี!N236"")"),0)</f>
        <v>0</v>
      </c>
      <c r="O236" s="58"/>
      <c r="P236" s="58"/>
    </row>
    <row r="237" spans="1:16" ht="19.5" x14ac:dyDescent="0.3">
      <c r="A237" s="167"/>
      <c r="B237" s="168"/>
      <c r="C237" s="296" t="s">
        <v>16</v>
      </c>
      <c r="D237" s="169" t="s">
        <v>36</v>
      </c>
      <c r="E237" s="170"/>
      <c r="F237" s="170"/>
      <c r="G237" s="171"/>
      <c r="H237" s="172"/>
      <c r="I237" s="164"/>
      <c r="J237" s="57"/>
      <c r="K237" s="58"/>
      <c r="L237" s="58"/>
      <c r="M237" s="58"/>
      <c r="N237" s="58"/>
      <c r="O237" s="165"/>
      <c r="P237" s="165"/>
    </row>
    <row r="238" spans="1:16" ht="18.75" x14ac:dyDescent="0.25">
      <c r="A238" s="167"/>
      <c r="B238" s="168"/>
      <c r="C238" s="168"/>
      <c r="D238" s="193" t="s">
        <v>102</v>
      </c>
      <c r="E238" s="174"/>
      <c r="F238" s="174"/>
      <c r="G238" s="172"/>
      <c r="H238" s="179" t="s">
        <v>33</v>
      </c>
      <c r="I238" s="194">
        <f ca="1">IFERROR(__xludf.DUMMYFUNCTION("IMPORTRANGE(""https://docs.google.com/spreadsheets/d/1kKUcYdkIfrgTSj8iHHHB2MD2FAtwyyocFgqGQn6ADyI/edit?usp=sharing"",""กระบี่!I238"")+IMPORTRANGE(""https://docs.google.com/spreadsheets/d/1GwtLaSlNZkLk7iDqcyZz22giiy40b_usZZBXYciEN1U/edit?usp=sharing"",""ชุ"&amp;"มพร!I238"")+IMPORTRANGE(""https://docs.google.com/spreadsheets/d/16pAz3pOhQEZBhvFNMa5KGgZS6iKWpsKX0pg6tQmwFpo/edit?usp=sharing"",""ตรัง!I238"")+IMPORTRANGE(""https://docs.google.com/spreadsheets/d/1Dj4jcHCTV9JXKCaMoheSXS52JE63kDKyG7bPXnFogHk/edit?usp=shar"&amp;"ing"",""นครศรีธรรมราช!I238"")+IMPORTRANGE(""https://docs.google.com/spreadsheets/d/1iodCdmuK2GR3jzUwk8tpccY2JHQQA-87DLOtJP-ooyU/edit?usp=sharing"",""นราธิวาส!I238"")+IMPORTRANGE(""https://docs.google.com/spreadsheets/d/1SDNX3JhDdYRuIOsj0Wh2M-Qa_eaXl0NbWmh"&amp;"AOTbfQAs/edit?usp=sharing"",""ปัตตานี!I238"")+IMPORTRANGE(""https://docs.google.com/spreadsheets/d/16JDLGguT8s5DsGCND1KcwHP_AWR_zDMTqLHPLJUKhaU/edit?usp=sharing"",""พังงา!I238"")+IMPORTRANGE(""https://docs.google.com/spreadsheets/d/17ht0gPKzzT3PObBL1XJkeR"&amp;"mntBXI7wGjpLV7QorqlTk/edit?usp=sharing"",""พัทลุง!I238"")+IMPORTRANGE(""https://docs.google.com/spreadsheets/d/1rd4qoM1q_hsgaolqNGfrim9gbsoLxQsda4-vOz5x_BM/edit?usp=sharing"",""ภูเก็ต!I238"")+IMPORTRANGE(""https://docs.google.com/spreadsheets/d/1woKwKjgoL"&amp;"ssDvPcPeVyezB5izizAn4X1JDrys69n6xI/edit?usp=sharing"",""ยะลา!I238"")+IMPORTRANGE(""https://docs.google.com/spreadsheets/d/1qfrKjzMhm2HJfxQ-qVlJlJQ25Hne1d0khsySbZyGtPA/edit?usp=sharing"",""ระนอง!I238"")+IMPORTRANGE(""https://docs.google.com/spreadsheets/d/"&amp;"1IbSCnFOKpZsnFogBHJnL_isstZVaOMnFiIN0fGTPZZw/edit?usp=sharing"",""สงขลา!I238"")+IMPORTRANGE(""https://docs.google.com/spreadsheets/d/1q9nWasZJ-K8bFGvbE9n0qSRuKGA4Toe3Y89cKCiVtCU/edit?usp=sharing"",""สตูล!I238"")+IMPORTRANGE(""https://docs.google.com/sprea"&amp;"dsheets/d/18T20gbkS_WBjdscyTOV05cvq_JqvqQ17C81mpxf7Ncs/edit?usp=sharing"",""สุราษฎร์ธานี!I238"")"),40)</f>
        <v>40</v>
      </c>
      <c r="J238" s="194">
        <f ca="1">IFERROR(__xludf.DUMMYFUNCTION("IMPORTRANGE(""https://docs.google.com/spreadsheets/d/1kKUcYdkIfrgTSj8iHHHB2MD2FAtwyyocFgqGQn6ADyI/edit?usp=sharing"",""กระบี่!J238"")+IMPORTRANGE(""https://docs.google.com/spreadsheets/d/1GwtLaSlNZkLk7iDqcyZz22giiy40b_usZZBXYciEN1U/edit?usp=sharing"",""ชุ"&amp;"มพร!J238"")+IMPORTRANGE(""https://docs.google.com/spreadsheets/d/16pAz3pOhQEZBhvFNMa5KGgZS6iKWpsKX0pg6tQmwFpo/edit?usp=sharing"",""ตรัง!J238"")+IMPORTRANGE(""https://docs.google.com/spreadsheets/d/1Dj4jcHCTV9JXKCaMoheSXS52JE63kDKyG7bPXnFogHk/edit?usp=shar"&amp;"ing"",""นครศรีธรรมราช!J238"")+IMPORTRANGE(""https://docs.google.com/spreadsheets/d/1iodCdmuK2GR3jzUwk8tpccY2JHQQA-87DLOtJP-ooyU/edit?usp=sharing"",""นราธิวาส!J238"")+IMPORTRANGE(""https://docs.google.com/spreadsheets/d/1SDNX3JhDdYRuIOsj0Wh2M-Qa_eaXl0NbWmh"&amp;"AOTbfQAs/edit?usp=sharing"",""ปัตตานี!J238"")+IMPORTRANGE(""https://docs.google.com/spreadsheets/d/16JDLGguT8s5DsGCND1KcwHP_AWR_zDMTqLHPLJUKhaU/edit?usp=sharing"",""พังงา!J238"")+IMPORTRANGE(""https://docs.google.com/spreadsheets/d/17ht0gPKzzT3PObBL1XJkeR"&amp;"mntBXI7wGjpLV7QorqlTk/edit?usp=sharing"",""พัทลุง!J238"")+IMPORTRANGE(""https://docs.google.com/spreadsheets/d/1rd4qoM1q_hsgaolqNGfrim9gbsoLxQsda4-vOz5x_BM/edit?usp=sharing"",""ภูเก็ต!J238"")+IMPORTRANGE(""https://docs.google.com/spreadsheets/d/1woKwKjgoL"&amp;"ssDvPcPeVyezB5izizAn4X1JDrys69n6xI/edit?usp=sharing"",""ยะลา!J238"")+IMPORTRANGE(""https://docs.google.com/spreadsheets/d/1qfrKjzMhm2HJfxQ-qVlJlJQ25Hne1d0khsySbZyGtPA/edit?usp=sharing"",""ระนอง!J238"")+IMPORTRANGE(""https://docs.google.com/spreadsheets/d/"&amp;"1IbSCnFOKpZsnFogBHJnL_isstZVaOMnFiIN0fGTPZZw/edit?usp=sharing"",""สงขลา!J238"")+IMPORTRANGE(""https://docs.google.com/spreadsheets/d/1q9nWasZJ-K8bFGvbE9n0qSRuKGA4Toe3Y89cKCiVtCU/edit?usp=sharing"",""สตูล!J238"")+IMPORTRANGE(""https://docs.google.com/sprea"&amp;"dsheets/d/18T20gbkS_WBjdscyTOV05cvq_JqvqQ17C81mpxf7Ncs/edit?usp=sharing"",""สุราษฎร์ธานี!J238"")"),0)</f>
        <v>0</v>
      </c>
      <c r="K238" s="59">
        <f ca="1">IF(I238&gt;0,J238*100/I238,0)</f>
        <v>0</v>
      </c>
      <c r="L238" s="58"/>
      <c r="M238" s="58"/>
      <c r="N238" s="58"/>
      <c r="O238" s="58"/>
      <c r="P238" s="58"/>
    </row>
    <row r="239" spans="1:16" ht="18.75" x14ac:dyDescent="0.25">
      <c r="A239" s="167"/>
      <c r="B239" s="168"/>
      <c r="C239" s="168"/>
      <c r="D239" s="306" t="s">
        <v>41</v>
      </c>
      <c r="E239" s="174"/>
      <c r="F239" s="174"/>
      <c r="G239" s="172"/>
      <c r="H239" s="172"/>
      <c r="I239" s="57"/>
      <c r="J239" s="57"/>
      <c r="K239" s="58"/>
      <c r="L239" s="58"/>
      <c r="M239" s="58"/>
      <c r="N239" s="58"/>
      <c r="O239" s="165"/>
      <c r="P239" s="165"/>
    </row>
    <row r="240" spans="1:16" ht="18.75" x14ac:dyDescent="0.25">
      <c r="A240" s="167"/>
      <c r="B240" s="168"/>
      <c r="C240" s="168"/>
      <c r="D240" s="168"/>
      <c r="E240" s="173" t="s">
        <v>103</v>
      </c>
      <c r="F240" s="174"/>
      <c r="G240" s="172"/>
      <c r="H240" s="179" t="s">
        <v>33</v>
      </c>
      <c r="I240" s="181">
        <v>0</v>
      </c>
      <c r="J240" s="194">
        <f ca="1">IFERROR(__xludf.DUMMYFUNCTION("IMPORTRANGE(""https://docs.google.com/spreadsheets/d/1kKUcYdkIfrgTSj8iHHHB2MD2FAtwyyocFgqGQn6ADyI/edit?usp=sharing"",""กระบี่!J240"")+IMPORTRANGE(""https://docs.google.com/spreadsheets/d/1GwtLaSlNZkLk7iDqcyZz22giiy40b_usZZBXYciEN1U/edit?usp=sharing"",""ชุ"&amp;"มพร!J240"")+IMPORTRANGE(""https://docs.google.com/spreadsheets/d/16pAz3pOhQEZBhvFNMa5KGgZS6iKWpsKX0pg6tQmwFpo/edit?usp=sharing"",""ตรัง!J240"")+IMPORTRANGE(""https://docs.google.com/spreadsheets/d/1Dj4jcHCTV9JXKCaMoheSXS52JE63kDKyG7bPXnFogHk/edit?usp=shar"&amp;"ing"",""นครศรีธรรมราช!J240"")+IMPORTRANGE(""https://docs.google.com/spreadsheets/d/1iodCdmuK2GR3jzUwk8tpccY2JHQQA-87DLOtJP-ooyU/edit?usp=sharing"",""นราธิวาส!J240"")+IMPORTRANGE(""https://docs.google.com/spreadsheets/d/1SDNX3JhDdYRuIOsj0Wh2M-Qa_eaXl0NbWmh"&amp;"AOTbfQAs/edit?usp=sharing"",""ปัตตานี!J240"")+IMPORTRANGE(""https://docs.google.com/spreadsheets/d/16JDLGguT8s5DsGCND1KcwHP_AWR_zDMTqLHPLJUKhaU/edit?usp=sharing"",""พังงา!J240"")+IMPORTRANGE(""https://docs.google.com/spreadsheets/d/17ht0gPKzzT3PObBL1XJkeR"&amp;"mntBXI7wGjpLV7QorqlTk/edit?usp=sharing"",""พัทลุง!J240"")+IMPORTRANGE(""https://docs.google.com/spreadsheets/d/1rd4qoM1q_hsgaolqNGfrim9gbsoLxQsda4-vOz5x_BM/edit?usp=sharing"",""ภูเก็ต!J240"")+IMPORTRANGE(""https://docs.google.com/spreadsheets/d/1woKwKjgoL"&amp;"ssDvPcPeVyezB5izizAn4X1JDrys69n6xI/edit?usp=sharing"",""ยะลา!J240"")+IMPORTRANGE(""https://docs.google.com/spreadsheets/d/1qfrKjzMhm2HJfxQ-qVlJlJQ25Hne1d0khsySbZyGtPA/edit?usp=sharing"",""ระนอง!J240"")+IMPORTRANGE(""https://docs.google.com/spreadsheets/d/"&amp;"1IbSCnFOKpZsnFogBHJnL_isstZVaOMnFiIN0fGTPZZw/edit?usp=sharing"",""สงขลา!J240"")+IMPORTRANGE(""https://docs.google.com/spreadsheets/d/1q9nWasZJ-K8bFGvbE9n0qSRuKGA4Toe3Y89cKCiVtCU/edit?usp=sharing"",""สตูล!J240"")+IMPORTRANGE(""https://docs.google.com/sprea"&amp;"dsheets/d/18T20gbkS_WBjdscyTOV05cvq_JqvqQ17C81mpxf7Ncs/edit?usp=sharing"",""สุราษฎร์ธานี!J240"")"),0)</f>
        <v>0</v>
      </c>
      <c r="K240" s="59">
        <f t="shared" ref="K240:K241" si="107">IF(I240&gt;0,J240*100/I240,0)</f>
        <v>0</v>
      </c>
      <c r="L240" s="58"/>
      <c r="M240" s="58"/>
      <c r="N240" s="58"/>
      <c r="O240" s="58"/>
      <c r="P240" s="58"/>
    </row>
    <row r="241" spans="1:16" ht="18.75" x14ac:dyDescent="0.25">
      <c r="A241" s="167"/>
      <c r="B241" s="168"/>
      <c r="C241" s="168"/>
      <c r="D241" s="168"/>
      <c r="E241" s="173" t="s">
        <v>104</v>
      </c>
      <c r="F241" s="174"/>
      <c r="G241" s="172"/>
      <c r="H241" s="179" t="s">
        <v>54</v>
      </c>
      <c r="I241" s="181">
        <v>0</v>
      </c>
      <c r="J241" s="194">
        <f ca="1">IFERROR(__xludf.DUMMYFUNCTION("IMPORTRANGE(""https://docs.google.com/spreadsheets/d/1kKUcYdkIfrgTSj8iHHHB2MD2FAtwyyocFgqGQn6ADyI/edit?usp=sharing"",""กระบี่!J241"")+IMPORTRANGE(""https://docs.google.com/spreadsheets/d/1GwtLaSlNZkLk7iDqcyZz22giiy40b_usZZBXYciEN1U/edit?usp=sharing"",""ชุ"&amp;"มพร!J241"")+IMPORTRANGE(""https://docs.google.com/spreadsheets/d/16pAz3pOhQEZBhvFNMa5KGgZS6iKWpsKX0pg6tQmwFpo/edit?usp=sharing"",""ตรัง!J241"")+IMPORTRANGE(""https://docs.google.com/spreadsheets/d/1Dj4jcHCTV9JXKCaMoheSXS52JE63kDKyG7bPXnFogHk/edit?usp=shar"&amp;"ing"",""นครศรีธรรมราช!J241"")+IMPORTRANGE(""https://docs.google.com/spreadsheets/d/1iodCdmuK2GR3jzUwk8tpccY2JHQQA-87DLOtJP-ooyU/edit?usp=sharing"",""นราธิวาส!J241"")+IMPORTRANGE(""https://docs.google.com/spreadsheets/d/1SDNX3JhDdYRuIOsj0Wh2M-Qa_eaXl0NbWmh"&amp;"AOTbfQAs/edit?usp=sharing"",""ปัตตานี!J241"")+IMPORTRANGE(""https://docs.google.com/spreadsheets/d/16JDLGguT8s5DsGCND1KcwHP_AWR_zDMTqLHPLJUKhaU/edit?usp=sharing"",""พังงา!J241"")+IMPORTRANGE(""https://docs.google.com/spreadsheets/d/17ht0gPKzzT3PObBL1XJkeR"&amp;"mntBXI7wGjpLV7QorqlTk/edit?usp=sharing"",""พัทลุง!J241"")+IMPORTRANGE(""https://docs.google.com/spreadsheets/d/1rd4qoM1q_hsgaolqNGfrim9gbsoLxQsda4-vOz5x_BM/edit?usp=sharing"",""ภูเก็ต!J241"")+IMPORTRANGE(""https://docs.google.com/spreadsheets/d/1woKwKjgoL"&amp;"ssDvPcPeVyezB5izizAn4X1JDrys69n6xI/edit?usp=sharing"",""ยะลา!J241"")+IMPORTRANGE(""https://docs.google.com/spreadsheets/d/1qfrKjzMhm2HJfxQ-qVlJlJQ25Hne1d0khsySbZyGtPA/edit?usp=sharing"",""ระนอง!J241"")+IMPORTRANGE(""https://docs.google.com/spreadsheets/d/"&amp;"1IbSCnFOKpZsnFogBHJnL_isstZVaOMnFiIN0fGTPZZw/edit?usp=sharing"",""สงขลา!J241"")+IMPORTRANGE(""https://docs.google.com/spreadsheets/d/1q9nWasZJ-K8bFGvbE9n0qSRuKGA4Toe3Y89cKCiVtCU/edit?usp=sharing"",""สตูล!J241"")+IMPORTRANGE(""https://docs.google.com/sprea"&amp;"dsheets/d/18T20gbkS_WBjdscyTOV05cvq_JqvqQ17C81mpxf7Ncs/edit?usp=sharing"",""สุราษฎร์ธานี!J241"")"),0)</f>
        <v>0</v>
      </c>
      <c r="K241" s="59">
        <f t="shared" si="107"/>
        <v>0</v>
      </c>
      <c r="L241" s="58"/>
      <c r="M241" s="58"/>
      <c r="N241" s="58"/>
      <c r="O241" s="58"/>
      <c r="P241" s="58"/>
    </row>
    <row r="242" spans="1:16" ht="19.5" hidden="1" x14ac:dyDescent="0.3">
      <c r="A242" s="307"/>
      <c r="B242" s="308"/>
      <c r="C242" s="309" t="s">
        <v>105</v>
      </c>
      <c r="D242" s="310"/>
      <c r="E242" s="310"/>
      <c r="F242" s="310"/>
      <c r="G242" s="311"/>
      <c r="H242" s="312" t="s">
        <v>33</v>
      </c>
      <c r="I242" s="313"/>
      <c r="J242" s="313"/>
      <c r="K242" s="314"/>
      <c r="L242" s="304"/>
      <c r="M242" s="304"/>
      <c r="N242" s="304"/>
      <c r="O242" s="304"/>
      <c r="P242" s="304"/>
    </row>
    <row r="243" spans="1:16" ht="19.5" hidden="1" x14ac:dyDescent="0.3">
      <c r="A243" s="315"/>
      <c r="B243" s="310"/>
      <c r="C243" s="316" t="s">
        <v>16</v>
      </c>
      <c r="D243" s="317" t="s">
        <v>17</v>
      </c>
      <c r="E243" s="310"/>
      <c r="F243" s="310"/>
      <c r="G243" s="311"/>
      <c r="H243" s="318" t="s">
        <v>12</v>
      </c>
      <c r="I243" s="319"/>
      <c r="J243" s="319"/>
      <c r="K243" s="320"/>
      <c r="L243" s="321"/>
      <c r="M243" s="304"/>
      <c r="N243" s="321"/>
      <c r="O243" s="321"/>
      <c r="P243" s="321"/>
    </row>
    <row r="244" spans="1:16" ht="18.75" hidden="1" x14ac:dyDescent="0.25">
      <c r="A244" s="315"/>
      <c r="B244" s="308"/>
      <c r="C244" s="310"/>
      <c r="D244" s="322" t="s">
        <v>80</v>
      </c>
      <c r="E244" s="310"/>
      <c r="F244" s="310"/>
      <c r="G244" s="311"/>
      <c r="H244" s="323" t="s">
        <v>12</v>
      </c>
      <c r="I244" s="319"/>
      <c r="J244" s="319"/>
      <c r="K244" s="320"/>
      <c r="L244" s="305"/>
      <c r="M244" s="304"/>
      <c r="N244" s="324"/>
      <c r="O244" s="304"/>
      <c r="P244" s="304"/>
    </row>
    <row r="245" spans="1:16" ht="18.75" hidden="1" x14ac:dyDescent="0.25">
      <c r="A245" s="307"/>
      <c r="B245" s="308"/>
      <c r="C245" s="308"/>
      <c r="D245" s="322" t="s">
        <v>82</v>
      </c>
      <c r="E245" s="310"/>
      <c r="F245" s="310"/>
      <c r="G245" s="311"/>
      <c r="H245" s="323" t="s">
        <v>12</v>
      </c>
      <c r="I245" s="319"/>
      <c r="J245" s="319"/>
      <c r="K245" s="320"/>
      <c r="L245" s="305"/>
      <c r="M245" s="304"/>
      <c r="N245" s="324"/>
      <c r="O245" s="304"/>
      <c r="P245" s="304"/>
    </row>
    <row r="246" spans="1:16" ht="18.75" hidden="1" x14ac:dyDescent="0.25">
      <c r="A246" s="307"/>
      <c r="B246" s="308"/>
      <c r="C246" s="308"/>
      <c r="D246" s="322" t="s">
        <v>100</v>
      </c>
      <c r="E246" s="310"/>
      <c r="F246" s="310"/>
      <c r="G246" s="311"/>
      <c r="H246" s="323" t="s">
        <v>12</v>
      </c>
      <c r="I246" s="319"/>
      <c r="J246" s="319"/>
      <c r="K246" s="320"/>
      <c r="L246" s="305"/>
      <c r="M246" s="304"/>
      <c r="N246" s="324"/>
      <c r="O246" s="304"/>
      <c r="P246" s="304"/>
    </row>
    <row r="247" spans="1:16" ht="18.75" hidden="1" x14ac:dyDescent="0.25">
      <c r="A247" s="307"/>
      <c r="B247" s="308"/>
      <c r="C247" s="308"/>
      <c r="D247" s="322" t="s">
        <v>101</v>
      </c>
      <c r="E247" s="310"/>
      <c r="F247" s="310"/>
      <c r="G247" s="311"/>
      <c r="H247" s="323" t="s">
        <v>12</v>
      </c>
      <c r="I247" s="319"/>
      <c r="J247" s="319"/>
      <c r="K247" s="320"/>
      <c r="L247" s="305"/>
      <c r="M247" s="304"/>
      <c r="N247" s="324"/>
      <c r="O247" s="304"/>
      <c r="P247" s="304"/>
    </row>
    <row r="248" spans="1:16" ht="19.5" hidden="1" x14ac:dyDescent="0.3">
      <c r="A248" s="307"/>
      <c r="B248" s="308"/>
      <c r="C248" s="325" t="s">
        <v>16</v>
      </c>
      <c r="D248" s="326" t="s">
        <v>36</v>
      </c>
      <c r="E248" s="310"/>
      <c r="F248" s="310"/>
      <c r="G248" s="311"/>
      <c r="H248" s="311"/>
      <c r="I248" s="319"/>
      <c r="J248" s="319"/>
      <c r="K248" s="320"/>
      <c r="L248" s="304"/>
      <c r="M248" s="304"/>
      <c r="N248" s="304"/>
      <c r="O248" s="304"/>
      <c r="P248" s="304"/>
    </row>
    <row r="249" spans="1:16" ht="18.75" hidden="1" x14ac:dyDescent="0.25">
      <c r="A249" s="307"/>
      <c r="B249" s="308"/>
      <c r="C249" s="308"/>
      <c r="D249" s="322" t="s">
        <v>102</v>
      </c>
      <c r="E249" s="310"/>
      <c r="F249" s="310"/>
      <c r="G249" s="311"/>
      <c r="H249" s="327" t="s">
        <v>33</v>
      </c>
      <c r="I249" s="328"/>
      <c r="J249" s="329"/>
      <c r="K249" s="330"/>
      <c r="L249" s="304"/>
      <c r="M249" s="304"/>
      <c r="N249" s="304"/>
      <c r="O249" s="304"/>
      <c r="P249" s="304"/>
    </row>
    <row r="250" spans="1:16" ht="18.75" hidden="1" x14ac:dyDescent="0.25">
      <c r="A250" s="307"/>
      <c r="B250" s="308"/>
      <c r="C250" s="308"/>
      <c r="D250" s="331" t="s">
        <v>41</v>
      </c>
      <c r="E250" s="310"/>
      <c r="F250" s="310"/>
      <c r="G250" s="311"/>
      <c r="H250" s="311"/>
      <c r="I250" s="319"/>
      <c r="J250" s="319"/>
      <c r="K250" s="320"/>
      <c r="L250" s="304"/>
      <c r="M250" s="304"/>
      <c r="N250" s="304"/>
      <c r="O250" s="304"/>
      <c r="P250" s="304"/>
    </row>
    <row r="251" spans="1:16" ht="18.75" hidden="1" x14ac:dyDescent="0.25">
      <c r="A251" s="307"/>
      <c r="B251" s="308"/>
      <c r="C251" s="308"/>
      <c r="D251" s="308"/>
      <c r="E251" s="332" t="s">
        <v>103</v>
      </c>
      <c r="F251" s="310"/>
      <c r="G251" s="311"/>
      <c r="H251" s="327" t="s">
        <v>33</v>
      </c>
      <c r="I251" s="329"/>
      <c r="J251" s="329"/>
      <c r="K251" s="330"/>
      <c r="L251" s="304"/>
      <c r="M251" s="304"/>
      <c r="N251" s="304"/>
      <c r="O251" s="304"/>
      <c r="P251" s="304"/>
    </row>
    <row r="252" spans="1:16" ht="18.75" hidden="1" x14ac:dyDescent="0.25">
      <c r="A252" s="307"/>
      <c r="B252" s="308"/>
      <c r="C252" s="308"/>
      <c r="D252" s="308"/>
      <c r="E252" s="332" t="s">
        <v>104</v>
      </c>
      <c r="F252" s="310"/>
      <c r="G252" s="311"/>
      <c r="H252" s="327" t="s">
        <v>54</v>
      </c>
      <c r="I252" s="329"/>
      <c r="J252" s="329"/>
      <c r="K252" s="330"/>
      <c r="L252" s="304"/>
      <c r="M252" s="304"/>
      <c r="N252" s="304"/>
      <c r="O252" s="304"/>
      <c r="P252" s="304"/>
    </row>
    <row r="253" spans="1:16" ht="19.5" hidden="1" x14ac:dyDescent="0.3">
      <c r="A253" s="307"/>
      <c r="B253" s="308"/>
      <c r="C253" s="309" t="s">
        <v>106</v>
      </c>
      <c r="D253" s="310"/>
      <c r="E253" s="310"/>
      <c r="F253" s="310"/>
      <c r="G253" s="311"/>
      <c r="H253" s="312" t="s">
        <v>33</v>
      </c>
      <c r="I253" s="313"/>
      <c r="J253" s="313"/>
      <c r="K253" s="314"/>
      <c r="L253" s="304"/>
      <c r="M253" s="304"/>
      <c r="N253" s="304"/>
      <c r="O253" s="304"/>
      <c r="P253" s="304"/>
    </row>
    <row r="254" spans="1:16" ht="19.5" hidden="1" x14ac:dyDescent="0.3">
      <c r="A254" s="315"/>
      <c r="B254" s="310"/>
      <c r="C254" s="316" t="s">
        <v>16</v>
      </c>
      <c r="D254" s="326" t="s">
        <v>17</v>
      </c>
      <c r="E254" s="310"/>
      <c r="F254" s="310"/>
      <c r="G254" s="311"/>
      <c r="H254" s="318" t="s">
        <v>12</v>
      </c>
      <c r="I254" s="319"/>
      <c r="J254" s="319"/>
      <c r="K254" s="320"/>
      <c r="L254" s="321"/>
      <c r="M254" s="304"/>
      <c r="N254" s="321"/>
      <c r="O254" s="321"/>
      <c r="P254" s="321"/>
    </row>
    <row r="255" spans="1:16" ht="18.75" hidden="1" x14ac:dyDescent="0.25">
      <c r="A255" s="315"/>
      <c r="B255" s="308"/>
      <c r="C255" s="310"/>
      <c r="D255" s="322" t="s">
        <v>80</v>
      </c>
      <c r="E255" s="310"/>
      <c r="F255" s="310"/>
      <c r="G255" s="311"/>
      <c r="H255" s="323" t="s">
        <v>12</v>
      </c>
      <c r="I255" s="319"/>
      <c r="J255" s="319"/>
      <c r="K255" s="320"/>
      <c r="L255" s="305"/>
      <c r="M255" s="304"/>
      <c r="N255" s="305"/>
      <c r="O255" s="304"/>
      <c r="P255" s="304"/>
    </row>
    <row r="256" spans="1:16" ht="18.75" hidden="1" x14ac:dyDescent="0.25">
      <c r="A256" s="307"/>
      <c r="B256" s="308"/>
      <c r="C256" s="308"/>
      <c r="D256" s="322" t="s">
        <v>82</v>
      </c>
      <c r="E256" s="310"/>
      <c r="F256" s="310"/>
      <c r="G256" s="311"/>
      <c r="H256" s="323" t="s">
        <v>12</v>
      </c>
      <c r="I256" s="319"/>
      <c r="J256" s="319"/>
      <c r="K256" s="320"/>
      <c r="L256" s="305"/>
      <c r="M256" s="304"/>
      <c r="N256" s="305"/>
      <c r="O256" s="304"/>
      <c r="P256" s="304"/>
    </row>
    <row r="257" spans="1:16" ht="18.75" hidden="1" x14ac:dyDescent="0.25">
      <c r="A257" s="307"/>
      <c r="B257" s="308"/>
      <c r="C257" s="308"/>
      <c r="D257" s="322" t="s">
        <v>100</v>
      </c>
      <c r="E257" s="310"/>
      <c r="F257" s="310"/>
      <c r="G257" s="311"/>
      <c r="H257" s="323" t="s">
        <v>12</v>
      </c>
      <c r="I257" s="319"/>
      <c r="J257" s="319"/>
      <c r="K257" s="320"/>
      <c r="L257" s="305"/>
      <c r="M257" s="304"/>
      <c r="N257" s="305"/>
      <c r="O257" s="304"/>
      <c r="P257" s="304"/>
    </row>
    <row r="258" spans="1:16" ht="18.75" hidden="1" x14ac:dyDescent="0.25">
      <c r="A258" s="307"/>
      <c r="B258" s="308"/>
      <c r="C258" s="308"/>
      <c r="D258" s="322" t="s">
        <v>101</v>
      </c>
      <c r="E258" s="310"/>
      <c r="F258" s="310"/>
      <c r="G258" s="311"/>
      <c r="H258" s="323" t="s">
        <v>12</v>
      </c>
      <c r="I258" s="319"/>
      <c r="J258" s="319"/>
      <c r="K258" s="320"/>
      <c r="L258" s="305"/>
      <c r="M258" s="304"/>
      <c r="N258" s="305"/>
      <c r="O258" s="304"/>
      <c r="P258" s="304"/>
    </row>
    <row r="259" spans="1:16" ht="19.5" hidden="1" x14ac:dyDescent="0.3">
      <c r="A259" s="307"/>
      <c r="B259" s="308"/>
      <c r="C259" s="325" t="s">
        <v>16</v>
      </c>
      <c r="D259" s="326" t="s">
        <v>36</v>
      </c>
      <c r="E259" s="310"/>
      <c r="F259" s="310"/>
      <c r="G259" s="311"/>
      <c r="H259" s="311"/>
      <c r="I259" s="319"/>
      <c r="J259" s="319"/>
      <c r="K259" s="320"/>
      <c r="L259" s="304"/>
      <c r="M259" s="304"/>
      <c r="N259" s="304"/>
      <c r="O259" s="304"/>
      <c r="P259" s="304"/>
    </row>
    <row r="260" spans="1:16" ht="18.75" hidden="1" x14ac:dyDescent="0.25">
      <c r="A260" s="307"/>
      <c r="B260" s="308"/>
      <c r="C260" s="308"/>
      <c r="D260" s="322" t="s">
        <v>102</v>
      </c>
      <c r="E260" s="310"/>
      <c r="F260" s="310"/>
      <c r="G260" s="311"/>
      <c r="H260" s="327" t="s">
        <v>33</v>
      </c>
      <c r="I260" s="328"/>
      <c r="J260" s="328"/>
      <c r="K260" s="330"/>
      <c r="L260" s="304"/>
      <c r="M260" s="304"/>
      <c r="N260" s="304"/>
      <c r="O260" s="304"/>
      <c r="P260" s="304"/>
    </row>
    <row r="261" spans="1:16" ht="18.75" hidden="1" x14ac:dyDescent="0.25">
      <c r="A261" s="307"/>
      <c r="B261" s="308"/>
      <c r="C261" s="308"/>
      <c r="D261" s="331" t="s">
        <v>41</v>
      </c>
      <c r="E261" s="310"/>
      <c r="F261" s="310"/>
      <c r="G261" s="311"/>
      <c r="H261" s="311"/>
      <c r="I261" s="319"/>
      <c r="J261" s="319"/>
      <c r="K261" s="320"/>
      <c r="L261" s="304"/>
      <c r="M261" s="304"/>
      <c r="N261" s="304"/>
      <c r="O261" s="304"/>
      <c r="P261" s="304"/>
    </row>
    <row r="262" spans="1:16" ht="18.75" hidden="1" x14ac:dyDescent="0.25">
      <c r="A262" s="307"/>
      <c r="B262" s="308"/>
      <c r="C262" s="308"/>
      <c r="D262" s="308"/>
      <c r="E262" s="332" t="s">
        <v>103</v>
      </c>
      <c r="F262" s="310"/>
      <c r="G262" s="311"/>
      <c r="H262" s="327" t="s">
        <v>33</v>
      </c>
      <c r="I262" s="319"/>
      <c r="J262" s="328"/>
      <c r="K262" s="330"/>
      <c r="L262" s="304"/>
      <c r="M262" s="304"/>
      <c r="N262" s="304"/>
      <c r="O262" s="304"/>
      <c r="P262" s="304"/>
    </row>
    <row r="263" spans="1:16" ht="18.75" hidden="1" x14ac:dyDescent="0.25">
      <c r="A263" s="307"/>
      <c r="B263" s="308"/>
      <c r="C263" s="308"/>
      <c r="D263" s="308"/>
      <c r="E263" s="332" t="s">
        <v>104</v>
      </c>
      <c r="F263" s="310"/>
      <c r="G263" s="311"/>
      <c r="H263" s="327" t="s">
        <v>54</v>
      </c>
      <c r="I263" s="319"/>
      <c r="J263" s="328"/>
      <c r="K263" s="330"/>
      <c r="L263" s="304"/>
      <c r="M263" s="304"/>
      <c r="N263" s="304"/>
      <c r="O263" s="304"/>
      <c r="P263" s="304"/>
    </row>
    <row r="264" spans="1:16" ht="19.5" x14ac:dyDescent="0.3">
      <c r="A264" s="261" t="s">
        <v>107</v>
      </c>
      <c r="B264" s="262"/>
      <c r="C264" s="262"/>
      <c r="D264" s="263"/>
      <c r="E264" s="263"/>
      <c r="F264" s="263"/>
      <c r="G264" s="264"/>
      <c r="H264" s="264"/>
      <c r="I264" s="265"/>
      <c r="J264" s="265"/>
      <c r="K264" s="266"/>
      <c r="L264" s="266"/>
      <c r="M264" s="266"/>
      <c r="N264" s="266"/>
      <c r="O264" s="266"/>
      <c r="P264" s="266"/>
    </row>
    <row r="265" spans="1:16" ht="19.5" x14ac:dyDescent="0.3">
      <c r="A265" s="267"/>
      <c r="B265" s="268" t="s">
        <v>108</v>
      </c>
      <c r="C265" s="269"/>
      <c r="D265" s="170"/>
      <c r="E265" s="170"/>
      <c r="F265" s="170"/>
      <c r="G265" s="171"/>
      <c r="H265" s="270" t="s">
        <v>33</v>
      </c>
      <c r="I265" s="333">
        <v>0</v>
      </c>
      <c r="J265" s="333">
        <v>0</v>
      </c>
      <c r="K265" s="272">
        <f>IF(I265&gt;0,J265*100/I265,0)</f>
        <v>0</v>
      </c>
      <c r="L265" s="273"/>
      <c r="M265" s="273"/>
      <c r="N265" s="273"/>
      <c r="O265" s="273"/>
      <c r="P265" s="273"/>
    </row>
    <row r="266" spans="1:16" ht="19.5" x14ac:dyDescent="0.3">
      <c r="A266" s="157"/>
      <c r="B266" s="53"/>
      <c r="C266" s="158" t="s">
        <v>16</v>
      </c>
      <c r="D266" s="159" t="s">
        <v>17</v>
      </c>
      <c r="E266" s="53"/>
      <c r="F266" s="53"/>
      <c r="G266" s="55"/>
      <c r="H266" s="160" t="s">
        <v>12</v>
      </c>
      <c r="I266" s="57"/>
      <c r="J266" s="57"/>
      <c r="K266" s="58"/>
      <c r="L266" s="161">
        <f t="shared" ref="L266:N266" ca="1" si="108">L267+L268</f>
        <v>0</v>
      </c>
      <c r="M266" s="161">
        <f t="shared" ca="1" si="108"/>
        <v>0</v>
      </c>
      <c r="N266" s="161">
        <f t="shared" ca="1" si="108"/>
        <v>0</v>
      </c>
      <c r="O266" s="161">
        <f t="shared" ref="O266:O274" ca="1" si="109">IF(L266&gt;0,N266*100/L266,0)</f>
        <v>0</v>
      </c>
      <c r="P266" s="161">
        <f t="shared" ref="P266:P274" ca="1" si="110">IF(M266&gt;0,N266*100/M266,0)</f>
        <v>0</v>
      </c>
    </row>
    <row r="267" spans="1:16" ht="18.75" x14ac:dyDescent="0.25">
      <c r="A267" s="157"/>
      <c r="B267" s="53"/>
      <c r="C267" s="53"/>
      <c r="D267" s="53"/>
      <c r="E267" s="60" t="s">
        <v>18</v>
      </c>
      <c r="F267" s="53"/>
      <c r="G267" s="55"/>
      <c r="H267" s="162" t="s">
        <v>12</v>
      </c>
      <c r="I267" s="57"/>
      <c r="J267" s="57"/>
      <c r="K267" s="58"/>
      <c r="L267" s="59">
        <f t="shared" ref="L267:N267" ca="1" si="111">L270+L273</f>
        <v>0</v>
      </c>
      <c r="M267" s="59">
        <f t="shared" ca="1" si="111"/>
        <v>0</v>
      </c>
      <c r="N267" s="59">
        <f t="shared" ca="1" si="111"/>
        <v>0</v>
      </c>
      <c r="O267" s="59">
        <f t="shared" ca="1" si="109"/>
        <v>0</v>
      </c>
      <c r="P267" s="59">
        <f t="shared" ca="1" si="110"/>
        <v>0</v>
      </c>
    </row>
    <row r="268" spans="1:16" ht="18.75" x14ac:dyDescent="0.25">
      <c r="A268" s="157"/>
      <c r="B268" s="53"/>
      <c r="C268" s="53"/>
      <c r="D268" s="53"/>
      <c r="E268" s="60" t="s">
        <v>19</v>
      </c>
      <c r="F268" s="53"/>
      <c r="G268" s="55"/>
      <c r="H268" s="162" t="s">
        <v>12</v>
      </c>
      <c r="I268" s="57"/>
      <c r="J268" s="57"/>
      <c r="K268" s="58"/>
      <c r="L268" s="59">
        <f t="shared" ref="L268:N268" ca="1" si="112">L271+L274</f>
        <v>0</v>
      </c>
      <c r="M268" s="59">
        <f t="shared" ca="1" si="112"/>
        <v>0</v>
      </c>
      <c r="N268" s="59">
        <f t="shared" ca="1" si="112"/>
        <v>0</v>
      </c>
      <c r="O268" s="59">
        <f t="shared" ca="1" si="109"/>
        <v>0</v>
      </c>
      <c r="P268" s="59">
        <f t="shared" ca="1" si="110"/>
        <v>0</v>
      </c>
    </row>
    <row r="269" spans="1:16" ht="18.75" x14ac:dyDescent="0.25">
      <c r="A269" s="157"/>
      <c r="B269" s="53"/>
      <c r="C269" s="53"/>
      <c r="D269" s="54" t="s">
        <v>20</v>
      </c>
      <c r="E269" s="53"/>
      <c r="F269" s="53"/>
      <c r="G269" s="55"/>
      <c r="H269" s="163" t="s">
        <v>12</v>
      </c>
      <c r="I269" s="164"/>
      <c r="J269" s="164"/>
      <c r="K269" s="165"/>
      <c r="L269" s="59">
        <f t="shared" ref="L269:N269" ca="1" si="113">L270+L271</f>
        <v>0</v>
      </c>
      <c r="M269" s="59">
        <f t="shared" ca="1" si="113"/>
        <v>0</v>
      </c>
      <c r="N269" s="59">
        <f t="shared" ca="1" si="113"/>
        <v>0</v>
      </c>
      <c r="O269" s="59">
        <f t="shared" ca="1" si="109"/>
        <v>0</v>
      </c>
      <c r="P269" s="59">
        <f t="shared" ca="1" si="110"/>
        <v>0</v>
      </c>
    </row>
    <row r="270" spans="1:16" ht="18.75" x14ac:dyDescent="0.25">
      <c r="A270" s="157"/>
      <c r="B270" s="53"/>
      <c r="C270" s="53"/>
      <c r="D270" s="53"/>
      <c r="E270" s="60" t="s">
        <v>34</v>
      </c>
      <c r="F270" s="53"/>
      <c r="G270" s="55"/>
      <c r="H270" s="163" t="s">
        <v>12</v>
      </c>
      <c r="I270" s="164"/>
      <c r="J270" s="164"/>
      <c r="K270" s="165"/>
      <c r="L270" s="59">
        <f ca="1">IFERROR(__xludf.DUMMYFUNCTION("IMPORTRANGE(""https://docs.google.com/spreadsheets/d/1kKUcYdkIfrgTSj8iHHHB2MD2FAtwyyocFgqGQn6ADyI/edit?usp=sharing"",""กระบี่!L270"")+IMPORTRANGE(""https://docs.google.com/spreadsheets/d/1GwtLaSlNZkLk7iDqcyZz22giiy40b_usZZBXYciEN1U/edit?usp=sharing"",""ชุ"&amp;"มพร!L270"")+IMPORTRANGE(""https://docs.google.com/spreadsheets/d/16pAz3pOhQEZBhvFNMa5KGgZS6iKWpsKX0pg6tQmwFpo/edit?usp=sharing"",""ตรัง!L270"")+IMPORTRANGE(""https://docs.google.com/spreadsheets/d/1Dj4jcHCTV9JXKCaMoheSXS52JE63kDKyG7bPXnFogHk/edit?usp=shar"&amp;"ing"",""นครศรีธรรมราช!L270"")+IMPORTRANGE(""https://docs.google.com/spreadsheets/d/1iodCdmuK2GR3jzUwk8tpccY2JHQQA-87DLOtJP-ooyU/edit?usp=sharing"",""นราธิวาส!L270"")+IMPORTRANGE(""https://docs.google.com/spreadsheets/d/1SDNX3JhDdYRuIOsj0Wh2M-Qa_eaXl0NbWmh"&amp;"AOTbfQAs/edit?usp=sharing"",""ปัตตานี!L270"")+IMPORTRANGE(""https://docs.google.com/spreadsheets/d/16JDLGguT8s5DsGCND1KcwHP_AWR_zDMTqLHPLJUKhaU/edit?usp=sharing"",""พังงา!L270"")+IMPORTRANGE(""https://docs.google.com/spreadsheets/d/17ht0gPKzzT3PObBL1XJkeR"&amp;"mntBXI7wGjpLV7QorqlTk/edit?usp=sharing"",""พัทลุง!L270"")+IMPORTRANGE(""https://docs.google.com/spreadsheets/d/1rd4qoM1q_hsgaolqNGfrim9gbsoLxQsda4-vOz5x_BM/edit?usp=sharing"",""ภูเก็ต!L270"")+IMPORTRANGE(""https://docs.google.com/spreadsheets/d/1woKwKjgoL"&amp;"ssDvPcPeVyezB5izizAn4X1JDrys69n6xI/edit?usp=sharing"",""ยะลา!L270"")+IMPORTRANGE(""https://docs.google.com/spreadsheets/d/1qfrKjzMhm2HJfxQ-qVlJlJQ25Hne1d0khsySbZyGtPA/edit?usp=sharing"",""ระนอง!L270"")+IMPORTRANGE(""https://docs.google.com/spreadsheets/d/"&amp;"1IbSCnFOKpZsnFogBHJnL_isstZVaOMnFiIN0fGTPZZw/edit?usp=sharing"",""สงขลา!L270"")+IMPORTRANGE(""https://docs.google.com/spreadsheets/d/1q9nWasZJ-K8bFGvbE9n0qSRuKGA4Toe3Y89cKCiVtCU/edit?usp=sharing"",""สตูล!L270"")+IMPORTRANGE(""https://docs.google.com/sprea"&amp;"dsheets/d/18T20gbkS_WBjdscyTOV05cvq_JqvqQ17C81mpxf7Ncs/edit?usp=sharing"",""สุราษฎร์ธานี!L270"")"),0)</f>
        <v>0</v>
      </c>
      <c r="M270" s="59">
        <f ca="1">IFERROR(__xludf.DUMMYFUNCTION("IMPORTRANGE(""https://docs.google.com/spreadsheets/d/1kKUcYdkIfrgTSj8iHHHB2MD2FAtwyyocFgqGQn6ADyI/edit?usp=sharing"",""กระบี่!M270"")+IMPORTRANGE(""https://docs.google.com/spreadsheets/d/1GwtLaSlNZkLk7iDqcyZz22giiy40b_usZZBXYciEN1U/edit?usp=sharing"",""ชุ"&amp;"มพร!M270"")+IMPORTRANGE(""https://docs.google.com/spreadsheets/d/16pAz3pOhQEZBhvFNMa5KGgZS6iKWpsKX0pg6tQmwFpo/edit?usp=sharing"",""ตรัง!M270"")+IMPORTRANGE(""https://docs.google.com/spreadsheets/d/1Dj4jcHCTV9JXKCaMoheSXS52JE63kDKyG7bPXnFogHk/edit?usp=shar"&amp;"ing"",""นครศรีธรรมราช!M270"")+IMPORTRANGE(""https://docs.google.com/spreadsheets/d/1iodCdmuK2GR3jzUwk8tpccY2JHQQA-87DLOtJP-ooyU/edit?usp=sharing"",""นราธิวาส!M270"")+IMPORTRANGE(""https://docs.google.com/spreadsheets/d/1SDNX3JhDdYRuIOsj0Wh2M-Qa_eaXl0NbWmh"&amp;"AOTbfQAs/edit?usp=sharing"",""ปัตตานี!M270"")+IMPORTRANGE(""https://docs.google.com/spreadsheets/d/16JDLGguT8s5DsGCND1KcwHP_AWR_zDMTqLHPLJUKhaU/edit?usp=sharing"",""พังงา!M270"")+IMPORTRANGE(""https://docs.google.com/spreadsheets/d/17ht0gPKzzT3PObBL1XJkeR"&amp;"mntBXI7wGjpLV7QorqlTk/edit?usp=sharing"",""พัทลุง!M270"")+IMPORTRANGE(""https://docs.google.com/spreadsheets/d/1rd4qoM1q_hsgaolqNGfrim9gbsoLxQsda4-vOz5x_BM/edit?usp=sharing"",""ภูเก็ต!M270"")+IMPORTRANGE(""https://docs.google.com/spreadsheets/d/1woKwKjgoL"&amp;"ssDvPcPeVyezB5izizAn4X1JDrys69n6xI/edit?usp=sharing"",""ยะลา!M270"")+IMPORTRANGE(""https://docs.google.com/spreadsheets/d/1qfrKjzMhm2HJfxQ-qVlJlJQ25Hne1d0khsySbZyGtPA/edit?usp=sharing"",""ระนอง!M270"")+IMPORTRANGE(""https://docs.google.com/spreadsheets/d/"&amp;"1IbSCnFOKpZsnFogBHJnL_isstZVaOMnFiIN0fGTPZZw/edit?usp=sharing"",""สงขลา!M270"")+IMPORTRANGE(""https://docs.google.com/spreadsheets/d/1q9nWasZJ-K8bFGvbE9n0qSRuKGA4Toe3Y89cKCiVtCU/edit?usp=sharing"",""สตูล!M270"")+IMPORTRANGE(""https://docs.google.com/sprea"&amp;"dsheets/d/18T20gbkS_WBjdscyTOV05cvq_JqvqQ17C81mpxf7Ncs/edit?usp=sharing"",""สุราษฎร์ธานี!M270"")"),0)</f>
        <v>0</v>
      </c>
      <c r="N270" s="59">
        <f ca="1">IFERROR(__xludf.DUMMYFUNCTION("IMPORTRANGE(""https://docs.google.com/spreadsheets/d/1kKUcYdkIfrgTSj8iHHHB2MD2FAtwyyocFgqGQn6ADyI/edit?usp=sharing"",""กระบี่!N270"")+IMPORTRANGE(""https://docs.google.com/spreadsheets/d/1GwtLaSlNZkLk7iDqcyZz22giiy40b_usZZBXYciEN1U/edit?usp=sharing"",""ชุ"&amp;"มพร!N270"")+IMPORTRANGE(""https://docs.google.com/spreadsheets/d/16pAz3pOhQEZBhvFNMa5KGgZS6iKWpsKX0pg6tQmwFpo/edit?usp=sharing"",""ตรัง!N270"")+IMPORTRANGE(""https://docs.google.com/spreadsheets/d/1Dj4jcHCTV9JXKCaMoheSXS52JE63kDKyG7bPXnFogHk/edit?usp=shar"&amp;"ing"",""นครศรีธรรมราช!N270"")+IMPORTRANGE(""https://docs.google.com/spreadsheets/d/1iodCdmuK2GR3jzUwk8tpccY2JHQQA-87DLOtJP-ooyU/edit?usp=sharing"",""นราธิวาส!N270"")+IMPORTRANGE(""https://docs.google.com/spreadsheets/d/1SDNX3JhDdYRuIOsj0Wh2M-Qa_eaXl0NbWmh"&amp;"AOTbfQAs/edit?usp=sharing"",""ปัตตานี!N270"")+IMPORTRANGE(""https://docs.google.com/spreadsheets/d/16JDLGguT8s5DsGCND1KcwHP_AWR_zDMTqLHPLJUKhaU/edit?usp=sharing"",""พังงา!N270"")+IMPORTRANGE(""https://docs.google.com/spreadsheets/d/17ht0gPKzzT3PObBL1XJkeR"&amp;"mntBXI7wGjpLV7QorqlTk/edit?usp=sharing"",""พัทลุง!N270"")+IMPORTRANGE(""https://docs.google.com/spreadsheets/d/1rd4qoM1q_hsgaolqNGfrim9gbsoLxQsda4-vOz5x_BM/edit?usp=sharing"",""ภูเก็ต!N270"")+IMPORTRANGE(""https://docs.google.com/spreadsheets/d/1woKwKjgoL"&amp;"ssDvPcPeVyezB5izizAn4X1JDrys69n6xI/edit?usp=sharing"",""ยะลา!N270"")+IMPORTRANGE(""https://docs.google.com/spreadsheets/d/1qfrKjzMhm2HJfxQ-qVlJlJQ25Hne1d0khsySbZyGtPA/edit?usp=sharing"",""ระนอง!N270"")+IMPORTRANGE(""https://docs.google.com/spreadsheets/d/"&amp;"1IbSCnFOKpZsnFogBHJnL_isstZVaOMnFiIN0fGTPZZw/edit?usp=sharing"",""สงขลา!N270"")+IMPORTRANGE(""https://docs.google.com/spreadsheets/d/1q9nWasZJ-K8bFGvbE9n0qSRuKGA4Toe3Y89cKCiVtCU/edit?usp=sharing"",""สตูล!N270"")+IMPORTRANGE(""https://docs.google.com/sprea"&amp;"dsheets/d/18T20gbkS_WBjdscyTOV05cvq_JqvqQ17C81mpxf7Ncs/edit?usp=sharing"",""สุราษฎร์ธานี!N270"")"),0)</f>
        <v>0</v>
      </c>
      <c r="O270" s="59">
        <f t="shared" ca="1" si="109"/>
        <v>0</v>
      </c>
      <c r="P270" s="59">
        <f t="shared" ca="1" si="110"/>
        <v>0</v>
      </c>
    </row>
    <row r="271" spans="1:16" ht="18.75" x14ac:dyDescent="0.25">
      <c r="A271" s="157"/>
      <c r="B271" s="53"/>
      <c r="C271" s="53"/>
      <c r="D271" s="53"/>
      <c r="E271" s="60" t="s">
        <v>35</v>
      </c>
      <c r="F271" s="53"/>
      <c r="G271" s="55"/>
      <c r="H271" s="163" t="s">
        <v>12</v>
      </c>
      <c r="I271" s="164"/>
      <c r="J271" s="164"/>
      <c r="K271" s="165"/>
      <c r="L271" s="59">
        <f ca="1">IFERROR(__xludf.DUMMYFUNCTION("IMPORTRANGE(""https://docs.google.com/spreadsheets/d/1kKUcYdkIfrgTSj8iHHHB2MD2FAtwyyocFgqGQn6ADyI/edit?usp=sharing"",""กระบี่!L271"")+IMPORTRANGE(""https://docs.google.com/spreadsheets/d/1GwtLaSlNZkLk7iDqcyZz22giiy40b_usZZBXYciEN1U/edit?usp=sharing"",""ชุ"&amp;"มพร!L271"")+IMPORTRANGE(""https://docs.google.com/spreadsheets/d/16pAz3pOhQEZBhvFNMa5KGgZS6iKWpsKX0pg6tQmwFpo/edit?usp=sharing"",""ตรัง!L271"")+IMPORTRANGE(""https://docs.google.com/spreadsheets/d/1Dj4jcHCTV9JXKCaMoheSXS52JE63kDKyG7bPXnFogHk/edit?usp=shar"&amp;"ing"",""นครศรีธรรมราช!L271"")+IMPORTRANGE(""https://docs.google.com/spreadsheets/d/1iodCdmuK2GR3jzUwk8tpccY2JHQQA-87DLOtJP-ooyU/edit?usp=sharing"",""นราธิวาส!L271"")+IMPORTRANGE(""https://docs.google.com/spreadsheets/d/1SDNX3JhDdYRuIOsj0Wh2M-Qa_eaXl0NbWmh"&amp;"AOTbfQAs/edit?usp=sharing"",""ปัตตานี!L271"")+IMPORTRANGE(""https://docs.google.com/spreadsheets/d/16JDLGguT8s5DsGCND1KcwHP_AWR_zDMTqLHPLJUKhaU/edit?usp=sharing"",""พังงา!L271"")+IMPORTRANGE(""https://docs.google.com/spreadsheets/d/17ht0gPKzzT3PObBL1XJkeR"&amp;"mntBXI7wGjpLV7QorqlTk/edit?usp=sharing"",""พัทลุง!L271"")+IMPORTRANGE(""https://docs.google.com/spreadsheets/d/1rd4qoM1q_hsgaolqNGfrim9gbsoLxQsda4-vOz5x_BM/edit?usp=sharing"",""ภูเก็ต!L271"")+IMPORTRANGE(""https://docs.google.com/spreadsheets/d/1woKwKjgoL"&amp;"ssDvPcPeVyezB5izizAn4X1JDrys69n6xI/edit?usp=sharing"",""ยะลา!L271"")+IMPORTRANGE(""https://docs.google.com/spreadsheets/d/1qfrKjzMhm2HJfxQ-qVlJlJQ25Hne1d0khsySbZyGtPA/edit?usp=sharing"",""ระนอง!L271"")+IMPORTRANGE(""https://docs.google.com/spreadsheets/d/"&amp;"1IbSCnFOKpZsnFogBHJnL_isstZVaOMnFiIN0fGTPZZw/edit?usp=sharing"",""สงขลา!L271"")+IMPORTRANGE(""https://docs.google.com/spreadsheets/d/1q9nWasZJ-K8bFGvbE9n0qSRuKGA4Toe3Y89cKCiVtCU/edit?usp=sharing"",""สตูล!L271"")+IMPORTRANGE(""https://docs.google.com/sprea"&amp;"dsheets/d/18T20gbkS_WBjdscyTOV05cvq_JqvqQ17C81mpxf7Ncs/edit?usp=sharing"",""สุราษฎร์ธานี!L271"")"),0)</f>
        <v>0</v>
      </c>
      <c r="M271" s="59">
        <f ca="1">IFERROR(__xludf.DUMMYFUNCTION("IMPORTRANGE(""https://docs.google.com/spreadsheets/d/1kKUcYdkIfrgTSj8iHHHB2MD2FAtwyyocFgqGQn6ADyI/edit?usp=sharing"",""กระบี่!M271"")+IMPORTRANGE(""https://docs.google.com/spreadsheets/d/1GwtLaSlNZkLk7iDqcyZz22giiy40b_usZZBXYciEN1U/edit?usp=sharing"",""ชุ"&amp;"มพร!M271"")+IMPORTRANGE(""https://docs.google.com/spreadsheets/d/16pAz3pOhQEZBhvFNMa5KGgZS6iKWpsKX0pg6tQmwFpo/edit?usp=sharing"",""ตรัง!M271"")+IMPORTRANGE(""https://docs.google.com/spreadsheets/d/1Dj4jcHCTV9JXKCaMoheSXS52JE63kDKyG7bPXnFogHk/edit?usp=shar"&amp;"ing"",""นครศรีธรรมราช!M271"")+IMPORTRANGE(""https://docs.google.com/spreadsheets/d/1iodCdmuK2GR3jzUwk8tpccY2JHQQA-87DLOtJP-ooyU/edit?usp=sharing"",""นราธิวาส!M271"")+IMPORTRANGE(""https://docs.google.com/spreadsheets/d/1SDNX3JhDdYRuIOsj0Wh2M-Qa_eaXl0NbWmh"&amp;"AOTbfQAs/edit?usp=sharing"",""ปัตตานี!M271"")+IMPORTRANGE(""https://docs.google.com/spreadsheets/d/16JDLGguT8s5DsGCND1KcwHP_AWR_zDMTqLHPLJUKhaU/edit?usp=sharing"",""พังงา!M271"")+IMPORTRANGE(""https://docs.google.com/spreadsheets/d/17ht0gPKzzT3PObBL1XJkeR"&amp;"mntBXI7wGjpLV7QorqlTk/edit?usp=sharing"",""พัทลุง!M271"")+IMPORTRANGE(""https://docs.google.com/spreadsheets/d/1rd4qoM1q_hsgaolqNGfrim9gbsoLxQsda4-vOz5x_BM/edit?usp=sharing"",""ภูเก็ต!M271"")+IMPORTRANGE(""https://docs.google.com/spreadsheets/d/1woKwKjgoL"&amp;"ssDvPcPeVyezB5izizAn4X1JDrys69n6xI/edit?usp=sharing"",""ยะลา!M271"")+IMPORTRANGE(""https://docs.google.com/spreadsheets/d/1qfrKjzMhm2HJfxQ-qVlJlJQ25Hne1d0khsySbZyGtPA/edit?usp=sharing"",""ระนอง!M271"")+IMPORTRANGE(""https://docs.google.com/spreadsheets/d/"&amp;"1IbSCnFOKpZsnFogBHJnL_isstZVaOMnFiIN0fGTPZZw/edit?usp=sharing"",""สงขลา!M271"")+IMPORTRANGE(""https://docs.google.com/spreadsheets/d/1q9nWasZJ-K8bFGvbE9n0qSRuKGA4Toe3Y89cKCiVtCU/edit?usp=sharing"",""สตูล!M271"")+IMPORTRANGE(""https://docs.google.com/sprea"&amp;"dsheets/d/18T20gbkS_WBjdscyTOV05cvq_JqvqQ17C81mpxf7Ncs/edit?usp=sharing"",""สุราษฎร์ธานี!M271"")"),0)</f>
        <v>0</v>
      </c>
      <c r="N271" s="59">
        <f ca="1">IFERROR(__xludf.DUMMYFUNCTION("IMPORTRANGE(""https://docs.google.com/spreadsheets/d/1kKUcYdkIfrgTSj8iHHHB2MD2FAtwyyocFgqGQn6ADyI/edit?usp=sharing"",""กระบี่!N271"")+IMPORTRANGE(""https://docs.google.com/spreadsheets/d/1GwtLaSlNZkLk7iDqcyZz22giiy40b_usZZBXYciEN1U/edit?usp=sharing"",""ชุ"&amp;"มพร!N271"")+IMPORTRANGE(""https://docs.google.com/spreadsheets/d/16pAz3pOhQEZBhvFNMa5KGgZS6iKWpsKX0pg6tQmwFpo/edit?usp=sharing"",""ตรัง!N271"")+IMPORTRANGE(""https://docs.google.com/spreadsheets/d/1Dj4jcHCTV9JXKCaMoheSXS52JE63kDKyG7bPXnFogHk/edit?usp=shar"&amp;"ing"",""นครศรีธรรมราช!N271"")+IMPORTRANGE(""https://docs.google.com/spreadsheets/d/1iodCdmuK2GR3jzUwk8tpccY2JHQQA-87DLOtJP-ooyU/edit?usp=sharing"",""นราธิวาส!N271"")+IMPORTRANGE(""https://docs.google.com/spreadsheets/d/1SDNX3JhDdYRuIOsj0Wh2M-Qa_eaXl0NbWmh"&amp;"AOTbfQAs/edit?usp=sharing"",""ปัตตานี!N271"")+IMPORTRANGE(""https://docs.google.com/spreadsheets/d/16JDLGguT8s5DsGCND1KcwHP_AWR_zDMTqLHPLJUKhaU/edit?usp=sharing"",""พังงา!N271"")+IMPORTRANGE(""https://docs.google.com/spreadsheets/d/17ht0gPKzzT3PObBL1XJkeR"&amp;"mntBXI7wGjpLV7QorqlTk/edit?usp=sharing"",""พัทลุง!N271"")+IMPORTRANGE(""https://docs.google.com/spreadsheets/d/1rd4qoM1q_hsgaolqNGfrim9gbsoLxQsda4-vOz5x_BM/edit?usp=sharing"",""ภูเก็ต!N271"")+IMPORTRANGE(""https://docs.google.com/spreadsheets/d/1woKwKjgoL"&amp;"ssDvPcPeVyezB5izizAn4X1JDrys69n6xI/edit?usp=sharing"",""ยะลา!N271"")+IMPORTRANGE(""https://docs.google.com/spreadsheets/d/1qfrKjzMhm2HJfxQ-qVlJlJQ25Hne1d0khsySbZyGtPA/edit?usp=sharing"",""ระนอง!N271"")+IMPORTRANGE(""https://docs.google.com/spreadsheets/d/"&amp;"1IbSCnFOKpZsnFogBHJnL_isstZVaOMnFiIN0fGTPZZw/edit?usp=sharing"",""สงขลา!N271"")+IMPORTRANGE(""https://docs.google.com/spreadsheets/d/1q9nWasZJ-K8bFGvbE9n0qSRuKGA4Toe3Y89cKCiVtCU/edit?usp=sharing"",""สตูล!N271"")+IMPORTRANGE(""https://docs.google.com/sprea"&amp;"dsheets/d/18T20gbkS_WBjdscyTOV05cvq_JqvqQ17C81mpxf7Ncs/edit?usp=sharing"",""สุราษฎร์ธานี!N271"")"),0)</f>
        <v>0</v>
      </c>
      <c r="O271" s="59">
        <f t="shared" ca="1" si="109"/>
        <v>0</v>
      </c>
      <c r="P271" s="59">
        <f t="shared" ca="1" si="110"/>
        <v>0</v>
      </c>
    </row>
    <row r="272" spans="1:16" ht="18.75" x14ac:dyDescent="0.25">
      <c r="A272" s="157"/>
      <c r="B272" s="53"/>
      <c r="C272" s="53"/>
      <c r="D272" s="54" t="s">
        <v>21</v>
      </c>
      <c r="E272" s="53"/>
      <c r="F272" s="53"/>
      <c r="G272" s="55"/>
      <c r="H272" s="166" t="s">
        <v>12</v>
      </c>
      <c r="I272" s="164"/>
      <c r="J272" s="164"/>
      <c r="K272" s="165"/>
      <c r="L272" s="59">
        <f t="shared" ref="L272:N272" ca="1" si="114">L273+L274</f>
        <v>0</v>
      </c>
      <c r="M272" s="59">
        <f t="shared" ca="1" si="114"/>
        <v>0</v>
      </c>
      <c r="N272" s="59">
        <f t="shared" ca="1" si="114"/>
        <v>0</v>
      </c>
      <c r="O272" s="59">
        <f t="shared" ca="1" si="109"/>
        <v>0</v>
      </c>
      <c r="P272" s="59">
        <f t="shared" ca="1" si="110"/>
        <v>0</v>
      </c>
    </row>
    <row r="273" spans="1:16" ht="18.75" x14ac:dyDescent="0.25">
      <c r="A273" s="157"/>
      <c r="B273" s="53"/>
      <c r="C273" s="53"/>
      <c r="D273" s="53"/>
      <c r="E273" s="60" t="s">
        <v>18</v>
      </c>
      <c r="F273" s="53"/>
      <c r="G273" s="55"/>
      <c r="H273" s="163" t="s">
        <v>12</v>
      </c>
      <c r="I273" s="164"/>
      <c r="J273" s="164"/>
      <c r="K273" s="165"/>
      <c r="L273" s="59">
        <f ca="1">IFERROR(__xludf.DUMMYFUNCTION("IMPORTRANGE(""https://docs.google.com/spreadsheets/d/1kKUcYdkIfrgTSj8iHHHB2MD2FAtwyyocFgqGQn6ADyI/edit?usp=sharing"",""กระบี่!L273"")+IMPORTRANGE(""https://docs.google.com/spreadsheets/d/1GwtLaSlNZkLk7iDqcyZz22giiy40b_usZZBXYciEN1U/edit?usp=sharing"",""ชุ"&amp;"มพร!L273"")+IMPORTRANGE(""https://docs.google.com/spreadsheets/d/16pAz3pOhQEZBhvFNMa5KGgZS6iKWpsKX0pg6tQmwFpo/edit?usp=sharing"",""ตรัง!L273"")+IMPORTRANGE(""https://docs.google.com/spreadsheets/d/1Dj4jcHCTV9JXKCaMoheSXS52JE63kDKyG7bPXnFogHk/edit?usp=shar"&amp;"ing"",""นครศรีธรรมราช!L273"")+IMPORTRANGE(""https://docs.google.com/spreadsheets/d/1iodCdmuK2GR3jzUwk8tpccY2JHQQA-87DLOtJP-ooyU/edit?usp=sharing"",""นราธิวาส!L273"")+IMPORTRANGE(""https://docs.google.com/spreadsheets/d/1SDNX3JhDdYRuIOsj0Wh2M-Qa_eaXl0NbWmh"&amp;"AOTbfQAs/edit?usp=sharing"",""ปัตตานี!L273"")+IMPORTRANGE(""https://docs.google.com/spreadsheets/d/16JDLGguT8s5DsGCND1KcwHP_AWR_zDMTqLHPLJUKhaU/edit?usp=sharing"",""พังงา!L273"")+IMPORTRANGE(""https://docs.google.com/spreadsheets/d/17ht0gPKzzT3PObBL1XJkeR"&amp;"mntBXI7wGjpLV7QorqlTk/edit?usp=sharing"",""พัทลุง!L273"")+IMPORTRANGE(""https://docs.google.com/spreadsheets/d/1rd4qoM1q_hsgaolqNGfrim9gbsoLxQsda4-vOz5x_BM/edit?usp=sharing"",""ภูเก็ต!L273"")+IMPORTRANGE(""https://docs.google.com/spreadsheets/d/1woKwKjgoL"&amp;"ssDvPcPeVyezB5izizAn4X1JDrys69n6xI/edit?usp=sharing"",""ยะลา!L273"")+IMPORTRANGE(""https://docs.google.com/spreadsheets/d/1qfrKjzMhm2HJfxQ-qVlJlJQ25Hne1d0khsySbZyGtPA/edit?usp=sharing"",""ระนอง!L273"")+IMPORTRANGE(""https://docs.google.com/spreadsheets/d/"&amp;"1IbSCnFOKpZsnFogBHJnL_isstZVaOMnFiIN0fGTPZZw/edit?usp=sharing"",""สงขลา!L273"")+IMPORTRANGE(""https://docs.google.com/spreadsheets/d/1q9nWasZJ-K8bFGvbE9n0qSRuKGA4Toe3Y89cKCiVtCU/edit?usp=sharing"",""สตูล!L273"")+IMPORTRANGE(""https://docs.google.com/sprea"&amp;"dsheets/d/18T20gbkS_WBjdscyTOV05cvq_JqvqQ17C81mpxf7Ncs/edit?usp=sharing"",""สุราษฎร์ธานี!L273"")"),0)</f>
        <v>0</v>
      </c>
      <c r="M273" s="59">
        <f ca="1">IFERROR(__xludf.DUMMYFUNCTION("IMPORTRANGE(""https://docs.google.com/spreadsheets/d/1kKUcYdkIfrgTSj8iHHHB2MD2FAtwyyocFgqGQn6ADyI/edit?usp=sharing"",""กระบี่!M273"")+IMPORTRANGE(""https://docs.google.com/spreadsheets/d/1GwtLaSlNZkLk7iDqcyZz22giiy40b_usZZBXYciEN1U/edit?usp=sharing"",""ชุ"&amp;"มพร!M273"")+IMPORTRANGE(""https://docs.google.com/spreadsheets/d/16pAz3pOhQEZBhvFNMa5KGgZS6iKWpsKX0pg6tQmwFpo/edit?usp=sharing"",""ตรัง!M273"")+IMPORTRANGE(""https://docs.google.com/spreadsheets/d/1Dj4jcHCTV9JXKCaMoheSXS52JE63kDKyG7bPXnFogHk/edit?usp=shar"&amp;"ing"",""นครศรีธรรมราช!M273"")+IMPORTRANGE(""https://docs.google.com/spreadsheets/d/1iodCdmuK2GR3jzUwk8tpccY2JHQQA-87DLOtJP-ooyU/edit?usp=sharing"",""นราธิวาส!M273"")+IMPORTRANGE(""https://docs.google.com/spreadsheets/d/1SDNX3JhDdYRuIOsj0Wh2M-Qa_eaXl0NbWmh"&amp;"AOTbfQAs/edit?usp=sharing"",""ปัตตานี!M273"")+IMPORTRANGE(""https://docs.google.com/spreadsheets/d/16JDLGguT8s5DsGCND1KcwHP_AWR_zDMTqLHPLJUKhaU/edit?usp=sharing"",""พังงา!M273"")+IMPORTRANGE(""https://docs.google.com/spreadsheets/d/17ht0gPKzzT3PObBL1XJkeR"&amp;"mntBXI7wGjpLV7QorqlTk/edit?usp=sharing"",""พัทลุง!M273"")+IMPORTRANGE(""https://docs.google.com/spreadsheets/d/1rd4qoM1q_hsgaolqNGfrim9gbsoLxQsda4-vOz5x_BM/edit?usp=sharing"",""ภูเก็ต!M273"")+IMPORTRANGE(""https://docs.google.com/spreadsheets/d/1woKwKjgoL"&amp;"ssDvPcPeVyezB5izizAn4X1JDrys69n6xI/edit?usp=sharing"",""ยะลา!M273"")+IMPORTRANGE(""https://docs.google.com/spreadsheets/d/1qfrKjzMhm2HJfxQ-qVlJlJQ25Hne1d0khsySbZyGtPA/edit?usp=sharing"",""ระนอง!M273"")+IMPORTRANGE(""https://docs.google.com/spreadsheets/d/"&amp;"1IbSCnFOKpZsnFogBHJnL_isstZVaOMnFiIN0fGTPZZw/edit?usp=sharing"",""สงขลา!M273"")+IMPORTRANGE(""https://docs.google.com/spreadsheets/d/1q9nWasZJ-K8bFGvbE9n0qSRuKGA4Toe3Y89cKCiVtCU/edit?usp=sharing"",""สตูล!M273"")+IMPORTRANGE(""https://docs.google.com/sprea"&amp;"dsheets/d/18T20gbkS_WBjdscyTOV05cvq_JqvqQ17C81mpxf7Ncs/edit?usp=sharing"",""สุราษฎร์ธานี!M273"")"),0)</f>
        <v>0</v>
      </c>
      <c r="N273" s="59">
        <f ca="1">IFERROR(__xludf.DUMMYFUNCTION("IMPORTRANGE(""https://docs.google.com/spreadsheets/d/1kKUcYdkIfrgTSj8iHHHB2MD2FAtwyyocFgqGQn6ADyI/edit?usp=sharing"",""กระบี่!N273"")+IMPORTRANGE(""https://docs.google.com/spreadsheets/d/1GwtLaSlNZkLk7iDqcyZz22giiy40b_usZZBXYciEN1U/edit?usp=sharing"",""ชุ"&amp;"มพร!N273"")+IMPORTRANGE(""https://docs.google.com/spreadsheets/d/16pAz3pOhQEZBhvFNMa5KGgZS6iKWpsKX0pg6tQmwFpo/edit?usp=sharing"",""ตรัง!N273"")+IMPORTRANGE(""https://docs.google.com/spreadsheets/d/1Dj4jcHCTV9JXKCaMoheSXS52JE63kDKyG7bPXnFogHk/edit?usp=shar"&amp;"ing"",""นครศรีธรรมราช!N273"")+IMPORTRANGE(""https://docs.google.com/spreadsheets/d/1iodCdmuK2GR3jzUwk8tpccY2JHQQA-87DLOtJP-ooyU/edit?usp=sharing"",""นราธิวาส!N273"")+IMPORTRANGE(""https://docs.google.com/spreadsheets/d/1SDNX3JhDdYRuIOsj0Wh2M-Qa_eaXl0NbWmh"&amp;"AOTbfQAs/edit?usp=sharing"",""ปัตตานี!N273"")+IMPORTRANGE(""https://docs.google.com/spreadsheets/d/16JDLGguT8s5DsGCND1KcwHP_AWR_zDMTqLHPLJUKhaU/edit?usp=sharing"",""พังงา!N273"")+IMPORTRANGE(""https://docs.google.com/spreadsheets/d/17ht0gPKzzT3PObBL1XJkeR"&amp;"mntBXI7wGjpLV7QorqlTk/edit?usp=sharing"",""พัทลุง!N273"")+IMPORTRANGE(""https://docs.google.com/spreadsheets/d/1rd4qoM1q_hsgaolqNGfrim9gbsoLxQsda4-vOz5x_BM/edit?usp=sharing"",""ภูเก็ต!N273"")+IMPORTRANGE(""https://docs.google.com/spreadsheets/d/1woKwKjgoL"&amp;"ssDvPcPeVyezB5izizAn4X1JDrys69n6xI/edit?usp=sharing"",""ยะลา!N273"")+IMPORTRANGE(""https://docs.google.com/spreadsheets/d/1qfrKjzMhm2HJfxQ-qVlJlJQ25Hne1d0khsySbZyGtPA/edit?usp=sharing"",""ระนอง!N273"")+IMPORTRANGE(""https://docs.google.com/spreadsheets/d/"&amp;"1IbSCnFOKpZsnFogBHJnL_isstZVaOMnFiIN0fGTPZZw/edit?usp=sharing"",""สงขลา!N273"")+IMPORTRANGE(""https://docs.google.com/spreadsheets/d/1q9nWasZJ-K8bFGvbE9n0qSRuKGA4Toe3Y89cKCiVtCU/edit?usp=sharing"",""สตูล!N273"")+IMPORTRANGE(""https://docs.google.com/sprea"&amp;"dsheets/d/18T20gbkS_WBjdscyTOV05cvq_JqvqQ17C81mpxf7Ncs/edit?usp=sharing"",""สุราษฎร์ธานี!N273"")"),0)</f>
        <v>0</v>
      </c>
      <c r="O273" s="59">
        <f t="shared" ca="1" si="109"/>
        <v>0</v>
      </c>
      <c r="P273" s="59">
        <f t="shared" ca="1" si="110"/>
        <v>0</v>
      </c>
    </row>
    <row r="274" spans="1:16" ht="18.75" x14ac:dyDescent="0.25">
      <c r="A274" s="157"/>
      <c r="B274" s="53"/>
      <c r="C274" s="53"/>
      <c r="D274" s="53"/>
      <c r="E274" s="60" t="s">
        <v>19</v>
      </c>
      <c r="F274" s="53"/>
      <c r="G274" s="55"/>
      <c r="H274" s="166" t="s">
        <v>12</v>
      </c>
      <c r="I274" s="164"/>
      <c r="J274" s="164"/>
      <c r="K274" s="165"/>
      <c r="L274" s="59">
        <f ca="1">IFERROR(__xludf.DUMMYFUNCTION("IMPORTRANGE(""https://docs.google.com/spreadsheets/d/1kKUcYdkIfrgTSj8iHHHB2MD2FAtwyyocFgqGQn6ADyI/edit?usp=sharing"",""กระบี่!L274"")+IMPORTRANGE(""https://docs.google.com/spreadsheets/d/1GwtLaSlNZkLk7iDqcyZz22giiy40b_usZZBXYciEN1U/edit?usp=sharing"",""ชุ"&amp;"มพร!L274"")+IMPORTRANGE(""https://docs.google.com/spreadsheets/d/16pAz3pOhQEZBhvFNMa5KGgZS6iKWpsKX0pg6tQmwFpo/edit?usp=sharing"",""ตรัง!L274"")+IMPORTRANGE(""https://docs.google.com/spreadsheets/d/1Dj4jcHCTV9JXKCaMoheSXS52JE63kDKyG7bPXnFogHk/edit?usp=shar"&amp;"ing"",""นครศรีธรรมราช!L274"")+IMPORTRANGE(""https://docs.google.com/spreadsheets/d/1iodCdmuK2GR3jzUwk8tpccY2JHQQA-87DLOtJP-ooyU/edit?usp=sharing"",""นราธิวาส!L274"")+IMPORTRANGE(""https://docs.google.com/spreadsheets/d/1SDNX3JhDdYRuIOsj0Wh2M-Qa_eaXl0NbWmh"&amp;"AOTbfQAs/edit?usp=sharing"",""ปัตตานี!L274"")+IMPORTRANGE(""https://docs.google.com/spreadsheets/d/16JDLGguT8s5DsGCND1KcwHP_AWR_zDMTqLHPLJUKhaU/edit?usp=sharing"",""พังงา!L274"")+IMPORTRANGE(""https://docs.google.com/spreadsheets/d/17ht0gPKzzT3PObBL1XJkeR"&amp;"mntBXI7wGjpLV7QorqlTk/edit?usp=sharing"",""พัทลุง!L274"")+IMPORTRANGE(""https://docs.google.com/spreadsheets/d/1rd4qoM1q_hsgaolqNGfrim9gbsoLxQsda4-vOz5x_BM/edit?usp=sharing"",""ภูเก็ต!L274"")+IMPORTRANGE(""https://docs.google.com/spreadsheets/d/1woKwKjgoL"&amp;"ssDvPcPeVyezB5izizAn4X1JDrys69n6xI/edit?usp=sharing"",""ยะลา!L274"")+IMPORTRANGE(""https://docs.google.com/spreadsheets/d/1qfrKjzMhm2HJfxQ-qVlJlJQ25Hne1d0khsySbZyGtPA/edit?usp=sharing"",""ระนอง!L274"")+IMPORTRANGE(""https://docs.google.com/spreadsheets/d/"&amp;"1IbSCnFOKpZsnFogBHJnL_isstZVaOMnFiIN0fGTPZZw/edit?usp=sharing"",""สงขลา!L274"")+IMPORTRANGE(""https://docs.google.com/spreadsheets/d/1q9nWasZJ-K8bFGvbE9n0qSRuKGA4Toe3Y89cKCiVtCU/edit?usp=sharing"",""สตูล!L274"")+IMPORTRANGE(""https://docs.google.com/sprea"&amp;"dsheets/d/18T20gbkS_WBjdscyTOV05cvq_JqvqQ17C81mpxf7Ncs/edit?usp=sharing"",""สุราษฎร์ธานี!L274"")"),0)</f>
        <v>0</v>
      </c>
      <c r="M274" s="59">
        <f ca="1">IFERROR(__xludf.DUMMYFUNCTION("IMPORTRANGE(""https://docs.google.com/spreadsheets/d/1kKUcYdkIfrgTSj8iHHHB2MD2FAtwyyocFgqGQn6ADyI/edit?usp=sharing"",""กระบี่!M274"")+IMPORTRANGE(""https://docs.google.com/spreadsheets/d/1GwtLaSlNZkLk7iDqcyZz22giiy40b_usZZBXYciEN1U/edit?usp=sharing"",""ชุ"&amp;"มพร!M274"")+IMPORTRANGE(""https://docs.google.com/spreadsheets/d/16pAz3pOhQEZBhvFNMa5KGgZS6iKWpsKX0pg6tQmwFpo/edit?usp=sharing"",""ตรัง!M274"")+IMPORTRANGE(""https://docs.google.com/spreadsheets/d/1Dj4jcHCTV9JXKCaMoheSXS52JE63kDKyG7bPXnFogHk/edit?usp=shar"&amp;"ing"",""นครศรีธรรมราช!M274"")+IMPORTRANGE(""https://docs.google.com/spreadsheets/d/1iodCdmuK2GR3jzUwk8tpccY2JHQQA-87DLOtJP-ooyU/edit?usp=sharing"",""นราธิวาส!M274"")+IMPORTRANGE(""https://docs.google.com/spreadsheets/d/1SDNX3JhDdYRuIOsj0Wh2M-Qa_eaXl0NbWmh"&amp;"AOTbfQAs/edit?usp=sharing"",""ปัตตานี!M274"")+IMPORTRANGE(""https://docs.google.com/spreadsheets/d/16JDLGguT8s5DsGCND1KcwHP_AWR_zDMTqLHPLJUKhaU/edit?usp=sharing"",""พังงา!M274"")+IMPORTRANGE(""https://docs.google.com/spreadsheets/d/17ht0gPKzzT3PObBL1XJkeR"&amp;"mntBXI7wGjpLV7QorqlTk/edit?usp=sharing"",""พัทลุง!M274"")+IMPORTRANGE(""https://docs.google.com/spreadsheets/d/1rd4qoM1q_hsgaolqNGfrim9gbsoLxQsda4-vOz5x_BM/edit?usp=sharing"",""ภูเก็ต!M274"")+IMPORTRANGE(""https://docs.google.com/spreadsheets/d/1woKwKjgoL"&amp;"ssDvPcPeVyezB5izizAn4X1JDrys69n6xI/edit?usp=sharing"",""ยะลา!M274"")+IMPORTRANGE(""https://docs.google.com/spreadsheets/d/1qfrKjzMhm2HJfxQ-qVlJlJQ25Hne1d0khsySbZyGtPA/edit?usp=sharing"",""ระนอง!M274"")+IMPORTRANGE(""https://docs.google.com/spreadsheets/d/"&amp;"1IbSCnFOKpZsnFogBHJnL_isstZVaOMnFiIN0fGTPZZw/edit?usp=sharing"",""สงขลา!M274"")+IMPORTRANGE(""https://docs.google.com/spreadsheets/d/1q9nWasZJ-K8bFGvbE9n0qSRuKGA4Toe3Y89cKCiVtCU/edit?usp=sharing"",""สตูล!M274"")+IMPORTRANGE(""https://docs.google.com/sprea"&amp;"dsheets/d/18T20gbkS_WBjdscyTOV05cvq_JqvqQ17C81mpxf7Ncs/edit?usp=sharing"",""สุราษฎร์ธานี!M274"")"),0)</f>
        <v>0</v>
      </c>
      <c r="N274" s="59">
        <f ca="1">IFERROR(__xludf.DUMMYFUNCTION("IMPORTRANGE(""https://docs.google.com/spreadsheets/d/1kKUcYdkIfrgTSj8iHHHB2MD2FAtwyyocFgqGQn6ADyI/edit?usp=sharing"",""กระบี่!N274"")+IMPORTRANGE(""https://docs.google.com/spreadsheets/d/1GwtLaSlNZkLk7iDqcyZz22giiy40b_usZZBXYciEN1U/edit?usp=sharing"",""ชุ"&amp;"มพร!N274"")+IMPORTRANGE(""https://docs.google.com/spreadsheets/d/16pAz3pOhQEZBhvFNMa5KGgZS6iKWpsKX0pg6tQmwFpo/edit?usp=sharing"",""ตรัง!N274"")+IMPORTRANGE(""https://docs.google.com/spreadsheets/d/1Dj4jcHCTV9JXKCaMoheSXS52JE63kDKyG7bPXnFogHk/edit?usp=shar"&amp;"ing"",""นครศรีธรรมราช!N274"")+IMPORTRANGE(""https://docs.google.com/spreadsheets/d/1iodCdmuK2GR3jzUwk8tpccY2JHQQA-87DLOtJP-ooyU/edit?usp=sharing"",""นราธิวาส!N274"")+IMPORTRANGE(""https://docs.google.com/spreadsheets/d/1SDNX3JhDdYRuIOsj0Wh2M-Qa_eaXl0NbWmh"&amp;"AOTbfQAs/edit?usp=sharing"",""ปัตตานี!N274"")+IMPORTRANGE(""https://docs.google.com/spreadsheets/d/16JDLGguT8s5DsGCND1KcwHP_AWR_zDMTqLHPLJUKhaU/edit?usp=sharing"",""พังงา!N274"")+IMPORTRANGE(""https://docs.google.com/spreadsheets/d/17ht0gPKzzT3PObBL1XJkeR"&amp;"mntBXI7wGjpLV7QorqlTk/edit?usp=sharing"",""พัทลุง!N274"")+IMPORTRANGE(""https://docs.google.com/spreadsheets/d/1rd4qoM1q_hsgaolqNGfrim9gbsoLxQsda4-vOz5x_BM/edit?usp=sharing"",""ภูเก็ต!N274"")+IMPORTRANGE(""https://docs.google.com/spreadsheets/d/1woKwKjgoL"&amp;"ssDvPcPeVyezB5izizAn4X1JDrys69n6xI/edit?usp=sharing"",""ยะลา!N274"")+IMPORTRANGE(""https://docs.google.com/spreadsheets/d/1qfrKjzMhm2HJfxQ-qVlJlJQ25Hne1d0khsySbZyGtPA/edit?usp=sharing"",""ระนอง!N274"")+IMPORTRANGE(""https://docs.google.com/spreadsheets/d/"&amp;"1IbSCnFOKpZsnFogBHJnL_isstZVaOMnFiIN0fGTPZZw/edit?usp=sharing"",""สงขลา!N274"")+IMPORTRANGE(""https://docs.google.com/spreadsheets/d/1q9nWasZJ-K8bFGvbE9n0qSRuKGA4Toe3Y89cKCiVtCU/edit?usp=sharing"",""สตูล!N274"")+IMPORTRANGE(""https://docs.google.com/sprea"&amp;"dsheets/d/18T20gbkS_WBjdscyTOV05cvq_JqvqQ17C81mpxf7Ncs/edit?usp=sharing"",""สุราษฎร์ธานี!N274"")"),0)</f>
        <v>0</v>
      </c>
      <c r="O274" s="59">
        <f t="shared" ca="1" si="109"/>
        <v>0</v>
      </c>
      <c r="P274" s="59">
        <f t="shared" ca="1" si="110"/>
        <v>0</v>
      </c>
    </row>
    <row r="275" spans="1:16" ht="19.5" x14ac:dyDescent="0.3">
      <c r="A275" s="167"/>
      <c r="B275" s="168"/>
      <c r="C275" s="334" t="s">
        <v>16</v>
      </c>
      <c r="D275" s="169" t="s">
        <v>36</v>
      </c>
      <c r="E275" s="170"/>
      <c r="F275" s="170"/>
      <c r="G275" s="171"/>
      <c r="H275" s="172"/>
      <c r="I275" s="164"/>
      <c r="J275" s="164"/>
      <c r="K275" s="165"/>
      <c r="L275" s="165"/>
      <c r="M275" s="165"/>
      <c r="N275" s="165"/>
      <c r="O275" s="165"/>
      <c r="P275" s="165"/>
    </row>
    <row r="276" spans="1:16" ht="18.75" hidden="1" x14ac:dyDescent="0.25">
      <c r="A276" s="335"/>
      <c r="B276" s="211"/>
      <c r="C276" s="211"/>
      <c r="D276" s="336"/>
      <c r="E276" s="17"/>
      <c r="F276" s="17"/>
      <c r="G276" s="20"/>
      <c r="H276" s="26"/>
      <c r="I276" s="212"/>
      <c r="J276" s="337"/>
      <c r="K276" s="27"/>
      <c r="L276" s="23"/>
      <c r="M276" s="23"/>
      <c r="N276" s="23"/>
      <c r="O276" s="23"/>
      <c r="P276" s="23"/>
    </row>
    <row r="277" spans="1:16" ht="18.75" x14ac:dyDescent="0.25">
      <c r="A277" s="338"/>
      <c r="B277" s="339"/>
      <c r="C277" s="339"/>
      <c r="D277" s="340" t="s">
        <v>109</v>
      </c>
      <c r="E277" s="341"/>
      <c r="F277" s="341"/>
      <c r="G277" s="342"/>
      <c r="H277" s="136" t="s">
        <v>33</v>
      </c>
      <c r="I277" s="343">
        <v>0</v>
      </c>
      <c r="J277" s="343">
        <v>0</v>
      </c>
      <c r="K277" s="344">
        <v>0</v>
      </c>
      <c r="L277" s="345"/>
      <c r="M277" s="345"/>
      <c r="N277" s="345"/>
      <c r="O277" s="345"/>
      <c r="P277" s="345"/>
    </row>
    <row r="278" spans="1:16" ht="19.5" x14ac:dyDescent="0.3">
      <c r="A278" s="346" t="s">
        <v>110</v>
      </c>
      <c r="B278" s="347"/>
      <c r="C278" s="347"/>
      <c r="D278" s="347"/>
      <c r="E278" s="348"/>
      <c r="F278" s="348"/>
      <c r="G278" s="348"/>
      <c r="H278" s="348"/>
      <c r="I278" s="349"/>
      <c r="J278" s="349"/>
      <c r="K278" s="350"/>
      <c r="L278" s="351"/>
      <c r="M278" s="351"/>
      <c r="N278" s="351"/>
      <c r="O278" s="351"/>
      <c r="P278" s="352"/>
    </row>
    <row r="279" spans="1:16" ht="19.5" x14ac:dyDescent="0.3">
      <c r="A279" s="353" t="s">
        <v>111</v>
      </c>
      <c r="B279" s="354"/>
      <c r="C279" s="355"/>
      <c r="D279" s="354"/>
      <c r="E279" s="354"/>
      <c r="F279" s="354"/>
      <c r="G279" s="354"/>
      <c r="H279" s="354"/>
      <c r="I279" s="356"/>
      <c r="J279" s="357"/>
      <c r="K279" s="358"/>
      <c r="L279" s="358"/>
      <c r="M279" s="358"/>
      <c r="N279" s="358"/>
      <c r="O279" s="358"/>
      <c r="P279" s="358"/>
    </row>
    <row r="280" spans="1:16" ht="19.5" x14ac:dyDescent="0.3">
      <c r="A280" s="359"/>
      <c r="B280" s="360" t="s">
        <v>112</v>
      </c>
      <c r="C280" s="361"/>
      <c r="D280" s="362"/>
      <c r="E280" s="361"/>
      <c r="F280" s="361"/>
      <c r="G280" s="363"/>
      <c r="H280" s="364" t="s">
        <v>33</v>
      </c>
      <c r="I280" s="365">
        <f t="shared" ref="I280:J280" ca="1" si="115">I293</f>
        <v>10</v>
      </c>
      <c r="J280" s="365">
        <f t="shared" ca="1" si="115"/>
        <v>0</v>
      </c>
      <c r="K280" s="366">
        <f t="shared" ref="K280:K281" ca="1" si="116">IF(I280&gt;0,J280*100/I280,0)</f>
        <v>0</v>
      </c>
      <c r="L280" s="367"/>
      <c r="M280" s="367"/>
      <c r="N280" s="367"/>
      <c r="O280" s="367"/>
      <c r="P280" s="367"/>
    </row>
    <row r="281" spans="1:16" ht="19.5" x14ac:dyDescent="0.3">
      <c r="A281" s="359"/>
      <c r="B281" s="361"/>
      <c r="C281" s="361"/>
      <c r="D281" s="362"/>
      <c r="E281" s="361"/>
      <c r="F281" s="361"/>
      <c r="G281" s="363"/>
      <c r="H281" s="364" t="s">
        <v>44</v>
      </c>
      <c r="I281" s="365">
        <f t="shared" ref="I281:J281" ca="1" si="117">I292</f>
        <v>100</v>
      </c>
      <c r="J281" s="365">
        <f t="shared" ca="1" si="117"/>
        <v>0</v>
      </c>
      <c r="K281" s="366">
        <f t="shared" ca="1" si="116"/>
        <v>0</v>
      </c>
      <c r="L281" s="367"/>
      <c r="M281" s="367"/>
      <c r="N281" s="367"/>
      <c r="O281" s="367"/>
      <c r="P281" s="367"/>
    </row>
    <row r="282" spans="1:16" ht="19.5" x14ac:dyDescent="0.3">
      <c r="A282" s="157"/>
      <c r="B282" s="53"/>
      <c r="C282" s="158" t="s">
        <v>16</v>
      </c>
      <c r="D282" s="159" t="s">
        <v>17</v>
      </c>
      <c r="E282" s="53"/>
      <c r="F282" s="53"/>
      <c r="G282" s="55"/>
      <c r="H282" s="160" t="s">
        <v>12</v>
      </c>
      <c r="I282" s="57"/>
      <c r="J282" s="57"/>
      <c r="K282" s="58"/>
      <c r="L282" s="161">
        <f t="shared" ref="L282:N282" ca="1" si="118">L283+L284</f>
        <v>292520</v>
      </c>
      <c r="M282" s="161">
        <f t="shared" ca="1" si="118"/>
        <v>213480</v>
      </c>
      <c r="N282" s="161">
        <f t="shared" ca="1" si="118"/>
        <v>78718.850000000006</v>
      </c>
      <c r="O282" s="161">
        <f t="shared" ref="O282:O290" ca="1" si="119">IF(L282&gt;0,N282*100/L282,0)</f>
        <v>26.910587310269385</v>
      </c>
      <c r="P282" s="161">
        <f t="shared" ref="P282:P290" ca="1" si="120">IF(M282&gt;0,N282*100/M282,0)</f>
        <v>36.874109986884022</v>
      </c>
    </row>
    <row r="283" spans="1:16" ht="18.75" x14ac:dyDescent="0.25">
      <c r="A283" s="157"/>
      <c r="B283" s="53"/>
      <c r="C283" s="53"/>
      <c r="D283" s="53"/>
      <c r="E283" s="60" t="s">
        <v>18</v>
      </c>
      <c r="F283" s="53"/>
      <c r="G283" s="55"/>
      <c r="H283" s="162" t="s">
        <v>12</v>
      </c>
      <c r="I283" s="57"/>
      <c r="J283" s="57"/>
      <c r="K283" s="58"/>
      <c r="L283" s="59">
        <f t="shared" ref="L283:N283" ca="1" si="121">L286+L289</f>
        <v>0</v>
      </c>
      <c r="M283" s="59">
        <f t="shared" ca="1" si="121"/>
        <v>0</v>
      </c>
      <c r="N283" s="59">
        <f t="shared" ca="1" si="121"/>
        <v>0</v>
      </c>
      <c r="O283" s="59">
        <f t="shared" ca="1" si="119"/>
        <v>0</v>
      </c>
      <c r="P283" s="59">
        <f t="shared" ca="1" si="120"/>
        <v>0</v>
      </c>
    </row>
    <row r="284" spans="1:16" ht="18.75" x14ac:dyDescent="0.25">
      <c r="A284" s="157"/>
      <c r="B284" s="53"/>
      <c r="C284" s="53"/>
      <c r="D284" s="53"/>
      <c r="E284" s="60" t="s">
        <v>19</v>
      </c>
      <c r="F284" s="53"/>
      <c r="G284" s="55"/>
      <c r="H284" s="162" t="s">
        <v>12</v>
      </c>
      <c r="I284" s="57"/>
      <c r="J284" s="57"/>
      <c r="K284" s="58"/>
      <c r="L284" s="59">
        <f t="shared" ref="L284:N284" ca="1" si="122">L287+L290</f>
        <v>292520</v>
      </c>
      <c r="M284" s="59">
        <f t="shared" ca="1" si="122"/>
        <v>213480</v>
      </c>
      <c r="N284" s="59">
        <f t="shared" ca="1" si="122"/>
        <v>78718.850000000006</v>
      </c>
      <c r="O284" s="59">
        <f t="shared" ca="1" si="119"/>
        <v>26.910587310269385</v>
      </c>
      <c r="P284" s="59">
        <f t="shared" ca="1" si="120"/>
        <v>36.874109986884022</v>
      </c>
    </row>
    <row r="285" spans="1:16" ht="18.75" x14ac:dyDescent="0.25">
      <c r="A285" s="157"/>
      <c r="B285" s="53"/>
      <c r="C285" s="53"/>
      <c r="D285" s="54" t="s">
        <v>20</v>
      </c>
      <c r="E285" s="53"/>
      <c r="F285" s="53"/>
      <c r="G285" s="55"/>
      <c r="H285" s="163" t="s">
        <v>12</v>
      </c>
      <c r="I285" s="164"/>
      <c r="J285" s="164"/>
      <c r="K285" s="165"/>
      <c r="L285" s="59">
        <f t="shared" ref="L285:N285" ca="1" si="123">L286+L287</f>
        <v>292520</v>
      </c>
      <c r="M285" s="59">
        <f t="shared" ca="1" si="123"/>
        <v>213480</v>
      </c>
      <c r="N285" s="59">
        <f t="shared" ca="1" si="123"/>
        <v>78718.850000000006</v>
      </c>
      <c r="O285" s="59">
        <f t="shared" ca="1" si="119"/>
        <v>26.910587310269385</v>
      </c>
      <c r="P285" s="59">
        <f t="shared" ca="1" si="120"/>
        <v>36.874109986884022</v>
      </c>
    </row>
    <row r="286" spans="1:16" ht="18.75" x14ac:dyDescent="0.25">
      <c r="A286" s="157"/>
      <c r="B286" s="53"/>
      <c r="C286" s="53"/>
      <c r="D286" s="53"/>
      <c r="E286" s="60" t="s">
        <v>34</v>
      </c>
      <c r="F286" s="53"/>
      <c r="G286" s="55"/>
      <c r="H286" s="163" t="s">
        <v>12</v>
      </c>
      <c r="I286" s="164"/>
      <c r="J286" s="164"/>
      <c r="K286" s="165"/>
      <c r="L286" s="59">
        <f ca="1">IFERROR(__xludf.DUMMYFUNCTION("IMPORTRANGE(""https://docs.google.com/spreadsheets/d/1kKUcYdkIfrgTSj8iHHHB2MD2FAtwyyocFgqGQn6ADyI/edit?usp=sharing"",""กระบี่!L286"")+IMPORTRANGE(""https://docs.google.com/spreadsheets/d/1GwtLaSlNZkLk7iDqcyZz22giiy40b_usZZBXYciEN1U/edit?usp=sharing"",""ชุ"&amp;"มพร!L286"")+IMPORTRANGE(""https://docs.google.com/spreadsheets/d/16pAz3pOhQEZBhvFNMa5KGgZS6iKWpsKX0pg6tQmwFpo/edit?usp=sharing"",""ตรัง!L286"")+IMPORTRANGE(""https://docs.google.com/spreadsheets/d/1Dj4jcHCTV9JXKCaMoheSXS52JE63kDKyG7bPXnFogHk/edit?usp=shar"&amp;"ing"",""นครศรีธรรมราช!L286"")+IMPORTRANGE(""https://docs.google.com/spreadsheets/d/1iodCdmuK2GR3jzUwk8tpccY2JHQQA-87DLOtJP-ooyU/edit?usp=sharing"",""นราธิวาส!L286"")+IMPORTRANGE(""https://docs.google.com/spreadsheets/d/1SDNX3JhDdYRuIOsj0Wh2M-Qa_eaXl0NbWmh"&amp;"AOTbfQAs/edit?usp=sharing"",""ปัตตานี!L286"")+IMPORTRANGE(""https://docs.google.com/spreadsheets/d/16JDLGguT8s5DsGCND1KcwHP_AWR_zDMTqLHPLJUKhaU/edit?usp=sharing"",""พังงา!L286"")+IMPORTRANGE(""https://docs.google.com/spreadsheets/d/17ht0gPKzzT3PObBL1XJkeR"&amp;"mntBXI7wGjpLV7QorqlTk/edit?usp=sharing"",""พัทลุง!L286"")+IMPORTRANGE(""https://docs.google.com/spreadsheets/d/1rd4qoM1q_hsgaolqNGfrim9gbsoLxQsda4-vOz5x_BM/edit?usp=sharing"",""ภูเก็ต!L286"")+IMPORTRANGE(""https://docs.google.com/spreadsheets/d/1woKwKjgoL"&amp;"ssDvPcPeVyezB5izizAn4X1JDrys69n6xI/edit?usp=sharing"",""ยะลา!L286"")+IMPORTRANGE(""https://docs.google.com/spreadsheets/d/1qfrKjzMhm2HJfxQ-qVlJlJQ25Hne1d0khsySbZyGtPA/edit?usp=sharing"",""ระนอง!L286"")+IMPORTRANGE(""https://docs.google.com/spreadsheets/d/"&amp;"1IbSCnFOKpZsnFogBHJnL_isstZVaOMnFiIN0fGTPZZw/edit?usp=sharing"",""สงขลา!L286"")+IMPORTRANGE(""https://docs.google.com/spreadsheets/d/1q9nWasZJ-K8bFGvbE9n0qSRuKGA4Toe3Y89cKCiVtCU/edit?usp=sharing"",""สตูล!L286"")+IMPORTRANGE(""https://docs.google.com/sprea"&amp;"dsheets/d/18T20gbkS_WBjdscyTOV05cvq_JqvqQ17C81mpxf7Ncs/edit?usp=sharing"",""สุราษฎร์ธานี!L286"")"),0)</f>
        <v>0</v>
      </c>
      <c r="M286" s="59">
        <f ca="1">IFERROR(__xludf.DUMMYFUNCTION("IMPORTRANGE(""https://docs.google.com/spreadsheets/d/1kKUcYdkIfrgTSj8iHHHB2MD2FAtwyyocFgqGQn6ADyI/edit?usp=sharing"",""กระบี่!M286"")+IMPORTRANGE(""https://docs.google.com/spreadsheets/d/1GwtLaSlNZkLk7iDqcyZz22giiy40b_usZZBXYciEN1U/edit?usp=sharing"",""ชุ"&amp;"มพร!M286"")+IMPORTRANGE(""https://docs.google.com/spreadsheets/d/16pAz3pOhQEZBhvFNMa5KGgZS6iKWpsKX0pg6tQmwFpo/edit?usp=sharing"",""ตรัง!M286"")+IMPORTRANGE(""https://docs.google.com/spreadsheets/d/1Dj4jcHCTV9JXKCaMoheSXS52JE63kDKyG7bPXnFogHk/edit?usp=shar"&amp;"ing"",""นครศรีธรรมราช!M286"")+IMPORTRANGE(""https://docs.google.com/spreadsheets/d/1iodCdmuK2GR3jzUwk8tpccY2JHQQA-87DLOtJP-ooyU/edit?usp=sharing"",""นราธิวาส!M286"")+IMPORTRANGE(""https://docs.google.com/spreadsheets/d/1SDNX3JhDdYRuIOsj0Wh2M-Qa_eaXl0NbWmh"&amp;"AOTbfQAs/edit?usp=sharing"",""ปัตตานี!M286"")+IMPORTRANGE(""https://docs.google.com/spreadsheets/d/16JDLGguT8s5DsGCND1KcwHP_AWR_zDMTqLHPLJUKhaU/edit?usp=sharing"",""พังงา!M286"")+IMPORTRANGE(""https://docs.google.com/spreadsheets/d/17ht0gPKzzT3PObBL1XJkeR"&amp;"mntBXI7wGjpLV7QorqlTk/edit?usp=sharing"",""พัทลุง!M286"")+IMPORTRANGE(""https://docs.google.com/spreadsheets/d/1rd4qoM1q_hsgaolqNGfrim9gbsoLxQsda4-vOz5x_BM/edit?usp=sharing"",""ภูเก็ต!M286"")+IMPORTRANGE(""https://docs.google.com/spreadsheets/d/1woKwKjgoL"&amp;"ssDvPcPeVyezB5izizAn4X1JDrys69n6xI/edit?usp=sharing"",""ยะลา!M286"")+IMPORTRANGE(""https://docs.google.com/spreadsheets/d/1qfrKjzMhm2HJfxQ-qVlJlJQ25Hne1d0khsySbZyGtPA/edit?usp=sharing"",""ระนอง!M286"")+IMPORTRANGE(""https://docs.google.com/spreadsheets/d/"&amp;"1IbSCnFOKpZsnFogBHJnL_isstZVaOMnFiIN0fGTPZZw/edit?usp=sharing"",""สงขลา!M286"")+IMPORTRANGE(""https://docs.google.com/spreadsheets/d/1q9nWasZJ-K8bFGvbE9n0qSRuKGA4Toe3Y89cKCiVtCU/edit?usp=sharing"",""สตูล!M286"")+IMPORTRANGE(""https://docs.google.com/sprea"&amp;"dsheets/d/18T20gbkS_WBjdscyTOV05cvq_JqvqQ17C81mpxf7Ncs/edit?usp=sharing"",""สุราษฎร์ธานี!M286"")"),0)</f>
        <v>0</v>
      </c>
      <c r="N286" s="59">
        <f ca="1">IFERROR(__xludf.DUMMYFUNCTION("IMPORTRANGE(""https://docs.google.com/spreadsheets/d/1kKUcYdkIfrgTSj8iHHHB2MD2FAtwyyocFgqGQn6ADyI/edit?usp=sharing"",""กระบี่!N286"")+IMPORTRANGE(""https://docs.google.com/spreadsheets/d/1GwtLaSlNZkLk7iDqcyZz22giiy40b_usZZBXYciEN1U/edit?usp=sharing"",""ชุ"&amp;"มพร!N286"")+IMPORTRANGE(""https://docs.google.com/spreadsheets/d/16pAz3pOhQEZBhvFNMa5KGgZS6iKWpsKX0pg6tQmwFpo/edit?usp=sharing"",""ตรัง!N286"")+IMPORTRANGE(""https://docs.google.com/spreadsheets/d/1Dj4jcHCTV9JXKCaMoheSXS52JE63kDKyG7bPXnFogHk/edit?usp=shar"&amp;"ing"",""นครศรีธรรมราช!N286"")+IMPORTRANGE(""https://docs.google.com/spreadsheets/d/1iodCdmuK2GR3jzUwk8tpccY2JHQQA-87DLOtJP-ooyU/edit?usp=sharing"",""นราธิวาส!N286"")+IMPORTRANGE(""https://docs.google.com/spreadsheets/d/1SDNX3JhDdYRuIOsj0Wh2M-Qa_eaXl0NbWmh"&amp;"AOTbfQAs/edit?usp=sharing"",""ปัตตานี!N286"")+IMPORTRANGE(""https://docs.google.com/spreadsheets/d/16JDLGguT8s5DsGCND1KcwHP_AWR_zDMTqLHPLJUKhaU/edit?usp=sharing"",""พังงา!N286"")+IMPORTRANGE(""https://docs.google.com/spreadsheets/d/17ht0gPKzzT3PObBL1XJkeR"&amp;"mntBXI7wGjpLV7QorqlTk/edit?usp=sharing"",""พัทลุง!N286"")+IMPORTRANGE(""https://docs.google.com/spreadsheets/d/1rd4qoM1q_hsgaolqNGfrim9gbsoLxQsda4-vOz5x_BM/edit?usp=sharing"",""ภูเก็ต!N286"")+IMPORTRANGE(""https://docs.google.com/spreadsheets/d/1woKwKjgoL"&amp;"ssDvPcPeVyezB5izizAn4X1JDrys69n6xI/edit?usp=sharing"",""ยะลา!N286"")+IMPORTRANGE(""https://docs.google.com/spreadsheets/d/1qfrKjzMhm2HJfxQ-qVlJlJQ25Hne1d0khsySbZyGtPA/edit?usp=sharing"",""ระนอง!N286"")+IMPORTRANGE(""https://docs.google.com/spreadsheets/d/"&amp;"1IbSCnFOKpZsnFogBHJnL_isstZVaOMnFiIN0fGTPZZw/edit?usp=sharing"",""สงขลา!N286"")+IMPORTRANGE(""https://docs.google.com/spreadsheets/d/1q9nWasZJ-K8bFGvbE9n0qSRuKGA4Toe3Y89cKCiVtCU/edit?usp=sharing"",""สตูล!N286"")+IMPORTRANGE(""https://docs.google.com/sprea"&amp;"dsheets/d/18T20gbkS_WBjdscyTOV05cvq_JqvqQ17C81mpxf7Ncs/edit?usp=sharing"",""สุราษฎร์ธานี!N286"")"),0)</f>
        <v>0</v>
      </c>
      <c r="O286" s="59">
        <f t="shared" ca="1" si="119"/>
        <v>0</v>
      </c>
      <c r="P286" s="59">
        <f t="shared" ca="1" si="120"/>
        <v>0</v>
      </c>
    </row>
    <row r="287" spans="1:16" ht="18.75" x14ac:dyDescent="0.25">
      <c r="A287" s="157"/>
      <c r="B287" s="53"/>
      <c r="C287" s="53"/>
      <c r="D287" s="53"/>
      <c r="E287" s="60" t="s">
        <v>35</v>
      </c>
      <c r="F287" s="53"/>
      <c r="G287" s="55"/>
      <c r="H287" s="163" t="s">
        <v>12</v>
      </c>
      <c r="I287" s="164"/>
      <c r="J287" s="164"/>
      <c r="K287" s="165"/>
      <c r="L287" s="59">
        <f ca="1">IFERROR(__xludf.DUMMYFUNCTION("IMPORTRANGE(""https://docs.google.com/spreadsheets/d/1kKUcYdkIfrgTSj8iHHHB2MD2FAtwyyocFgqGQn6ADyI/edit?usp=sharing"",""กระบี่!L287"")+IMPORTRANGE(""https://docs.google.com/spreadsheets/d/1GwtLaSlNZkLk7iDqcyZz22giiy40b_usZZBXYciEN1U/edit?usp=sharing"",""ชุ"&amp;"มพร!L287"")+IMPORTRANGE(""https://docs.google.com/spreadsheets/d/16pAz3pOhQEZBhvFNMa5KGgZS6iKWpsKX0pg6tQmwFpo/edit?usp=sharing"",""ตรัง!L287"")+IMPORTRANGE(""https://docs.google.com/spreadsheets/d/1Dj4jcHCTV9JXKCaMoheSXS52JE63kDKyG7bPXnFogHk/edit?usp=shar"&amp;"ing"",""นครศรีธรรมราช!L287"")+IMPORTRANGE(""https://docs.google.com/spreadsheets/d/1iodCdmuK2GR3jzUwk8tpccY2JHQQA-87DLOtJP-ooyU/edit?usp=sharing"",""นราธิวาส!L287"")+IMPORTRANGE(""https://docs.google.com/spreadsheets/d/1SDNX3JhDdYRuIOsj0Wh2M-Qa_eaXl0NbWmh"&amp;"AOTbfQAs/edit?usp=sharing"",""ปัตตานี!L287"")+IMPORTRANGE(""https://docs.google.com/spreadsheets/d/16JDLGguT8s5DsGCND1KcwHP_AWR_zDMTqLHPLJUKhaU/edit?usp=sharing"",""พังงา!L287"")+IMPORTRANGE(""https://docs.google.com/spreadsheets/d/17ht0gPKzzT3PObBL1XJkeR"&amp;"mntBXI7wGjpLV7QorqlTk/edit?usp=sharing"",""พัทลุง!L287"")+IMPORTRANGE(""https://docs.google.com/spreadsheets/d/1rd4qoM1q_hsgaolqNGfrim9gbsoLxQsda4-vOz5x_BM/edit?usp=sharing"",""ภูเก็ต!L287"")+IMPORTRANGE(""https://docs.google.com/spreadsheets/d/1woKwKjgoL"&amp;"ssDvPcPeVyezB5izizAn4X1JDrys69n6xI/edit?usp=sharing"",""ยะลา!L287"")+IMPORTRANGE(""https://docs.google.com/spreadsheets/d/1qfrKjzMhm2HJfxQ-qVlJlJQ25Hne1d0khsySbZyGtPA/edit?usp=sharing"",""ระนอง!L287"")+IMPORTRANGE(""https://docs.google.com/spreadsheets/d/"&amp;"1IbSCnFOKpZsnFogBHJnL_isstZVaOMnFiIN0fGTPZZw/edit?usp=sharing"",""สงขลา!L287"")+IMPORTRANGE(""https://docs.google.com/spreadsheets/d/1q9nWasZJ-K8bFGvbE9n0qSRuKGA4Toe3Y89cKCiVtCU/edit?usp=sharing"",""สตูล!L287"")+IMPORTRANGE(""https://docs.google.com/sprea"&amp;"dsheets/d/18T20gbkS_WBjdscyTOV05cvq_JqvqQ17C81mpxf7Ncs/edit?usp=sharing"",""สุราษฎร์ธานี!L287"")"),292520)</f>
        <v>292520</v>
      </c>
      <c r="M287" s="59">
        <f ca="1">IFERROR(__xludf.DUMMYFUNCTION("IMPORTRANGE(""https://docs.google.com/spreadsheets/d/1kKUcYdkIfrgTSj8iHHHB2MD2FAtwyyocFgqGQn6ADyI/edit?usp=sharing"",""กระบี่!M287"")+IMPORTRANGE(""https://docs.google.com/spreadsheets/d/1GwtLaSlNZkLk7iDqcyZz22giiy40b_usZZBXYciEN1U/edit?usp=sharing"",""ชุ"&amp;"มพร!M287"")+IMPORTRANGE(""https://docs.google.com/spreadsheets/d/16pAz3pOhQEZBhvFNMa5KGgZS6iKWpsKX0pg6tQmwFpo/edit?usp=sharing"",""ตรัง!M287"")+IMPORTRANGE(""https://docs.google.com/spreadsheets/d/1Dj4jcHCTV9JXKCaMoheSXS52JE63kDKyG7bPXnFogHk/edit?usp=shar"&amp;"ing"",""นครศรีธรรมราช!M287"")+IMPORTRANGE(""https://docs.google.com/spreadsheets/d/1iodCdmuK2GR3jzUwk8tpccY2JHQQA-87DLOtJP-ooyU/edit?usp=sharing"",""นราธิวาส!M287"")+IMPORTRANGE(""https://docs.google.com/spreadsheets/d/1SDNX3JhDdYRuIOsj0Wh2M-Qa_eaXl0NbWmh"&amp;"AOTbfQAs/edit?usp=sharing"",""ปัตตานี!M287"")+IMPORTRANGE(""https://docs.google.com/spreadsheets/d/16JDLGguT8s5DsGCND1KcwHP_AWR_zDMTqLHPLJUKhaU/edit?usp=sharing"",""พังงา!M287"")+IMPORTRANGE(""https://docs.google.com/spreadsheets/d/17ht0gPKzzT3PObBL1XJkeR"&amp;"mntBXI7wGjpLV7QorqlTk/edit?usp=sharing"",""พัทลุง!M287"")+IMPORTRANGE(""https://docs.google.com/spreadsheets/d/1rd4qoM1q_hsgaolqNGfrim9gbsoLxQsda4-vOz5x_BM/edit?usp=sharing"",""ภูเก็ต!M287"")+IMPORTRANGE(""https://docs.google.com/spreadsheets/d/1woKwKjgoL"&amp;"ssDvPcPeVyezB5izizAn4X1JDrys69n6xI/edit?usp=sharing"",""ยะลา!M287"")+IMPORTRANGE(""https://docs.google.com/spreadsheets/d/1qfrKjzMhm2HJfxQ-qVlJlJQ25Hne1d0khsySbZyGtPA/edit?usp=sharing"",""ระนอง!M287"")+IMPORTRANGE(""https://docs.google.com/spreadsheets/d/"&amp;"1IbSCnFOKpZsnFogBHJnL_isstZVaOMnFiIN0fGTPZZw/edit?usp=sharing"",""สงขลา!M287"")+IMPORTRANGE(""https://docs.google.com/spreadsheets/d/1q9nWasZJ-K8bFGvbE9n0qSRuKGA4Toe3Y89cKCiVtCU/edit?usp=sharing"",""สตูล!M287"")+IMPORTRANGE(""https://docs.google.com/sprea"&amp;"dsheets/d/18T20gbkS_WBjdscyTOV05cvq_JqvqQ17C81mpxf7Ncs/edit?usp=sharing"",""สุราษฎร์ธานี!M287"")"),213480)</f>
        <v>213480</v>
      </c>
      <c r="N287" s="59">
        <f ca="1">IFERROR(__xludf.DUMMYFUNCTION("IMPORTRANGE(""https://docs.google.com/spreadsheets/d/1kKUcYdkIfrgTSj8iHHHB2MD2FAtwyyocFgqGQn6ADyI/edit?usp=sharing"",""กระบี่!N287"")+IMPORTRANGE(""https://docs.google.com/spreadsheets/d/1GwtLaSlNZkLk7iDqcyZz22giiy40b_usZZBXYciEN1U/edit?usp=sharing"",""ชุ"&amp;"มพร!N287"")+IMPORTRANGE(""https://docs.google.com/spreadsheets/d/16pAz3pOhQEZBhvFNMa5KGgZS6iKWpsKX0pg6tQmwFpo/edit?usp=sharing"",""ตรัง!N287"")+IMPORTRANGE(""https://docs.google.com/spreadsheets/d/1Dj4jcHCTV9JXKCaMoheSXS52JE63kDKyG7bPXnFogHk/edit?usp=shar"&amp;"ing"",""นครศรีธรรมราช!N287"")+IMPORTRANGE(""https://docs.google.com/spreadsheets/d/1iodCdmuK2GR3jzUwk8tpccY2JHQQA-87DLOtJP-ooyU/edit?usp=sharing"",""นราธิวาส!N287"")+IMPORTRANGE(""https://docs.google.com/spreadsheets/d/1SDNX3JhDdYRuIOsj0Wh2M-Qa_eaXl0NbWmh"&amp;"AOTbfQAs/edit?usp=sharing"",""ปัตตานี!N287"")+IMPORTRANGE(""https://docs.google.com/spreadsheets/d/16JDLGguT8s5DsGCND1KcwHP_AWR_zDMTqLHPLJUKhaU/edit?usp=sharing"",""พังงา!N287"")+IMPORTRANGE(""https://docs.google.com/spreadsheets/d/17ht0gPKzzT3PObBL1XJkeR"&amp;"mntBXI7wGjpLV7QorqlTk/edit?usp=sharing"",""พัทลุง!N287"")+IMPORTRANGE(""https://docs.google.com/spreadsheets/d/1rd4qoM1q_hsgaolqNGfrim9gbsoLxQsda4-vOz5x_BM/edit?usp=sharing"",""ภูเก็ต!N287"")+IMPORTRANGE(""https://docs.google.com/spreadsheets/d/1woKwKjgoL"&amp;"ssDvPcPeVyezB5izizAn4X1JDrys69n6xI/edit?usp=sharing"",""ยะลา!N287"")+IMPORTRANGE(""https://docs.google.com/spreadsheets/d/1qfrKjzMhm2HJfxQ-qVlJlJQ25Hne1d0khsySbZyGtPA/edit?usp=sharing"",""ระนอง!N287"")+IMPORTRANGE(""https://docs.google.com/spreadsheets/d/"&amp;"1IbSCnFOKpZsnFogBHJnL_isstZVaOMnFiIN0fGTPZZw/edit?usp=sharing"",""สงขลา!N287"")+IMPORTRANGE(""https://docs.google.com/spreadsheets/d/1q9nWasZJ-K8bFGvbE9n0qSRuKGA4Toe3Y89cKCiVtCU/edit?usp=sharing"",""สตูล!N287"")+IMPORTRANGE(""https://docs.google.com/sprea"&amp;"dsheets/d/18T20gbkS_WBjdscyTOV05cvq_JqvqQ17C81mpxf7Ncs/edit?usp=sharing"",""สุราษฎร์ธานี!N287"")"),78718.85)</f>
        <v>78718.850000000006</v>
      </c>
      <c r="O287" s="59">
        <f t="shared" ca="1" si="119"/>
        <v>26.910587310269385</v>
      </c>
      <c r="P287" s="59">
        <f t="shared" ca="1" si="120"/>
        <v>36.874109986884022</v>
      </c>
    </row>
    <row r="288" spans="1:16" ht="18.75" x14ac:dyDescent="0.25">
      <c r="A288" s="157"/>
      <c r="B288" s="53"/>
      <c r="C288" s="53"/>
      <c r="D288" s="54" t="s">
        <v>21</v>
      </c>
      <c r="E288" s="53"/>
      <c r="F288" s="53"/>
      <c r="G288" s="55"/>
      <c r="H288" s="166" t="s">
        <v>12</v>
      </c>
      <c r="I288" s="164"/>
      <c r="J288" s="164"/>
      <c r="K288" s="165"/>
      <c r="L288" s="59">
        <f t="shared" ref="L288:N288" ca="1" si="124">L289+L290</f>
        <v>0</v>
      </c>
      <c r="M288" s="59">
        <f t="shared" ca="1" si="124"/>
        <v>0</v>
      </c>
      <c r="N288" s="59">
        <f t="shared" ca="1" si="124"/>
        <v>0</v>
      </c>
      <c r="O288" s="59">
        <f t="shared" ca="1" si="119"/>
        <v>0</v>
      </c>
      <c r="P288" s="59">
        <f t="shared" ca="1" si="120"/>
        <v>0</v>
      </c>
    </row>
    <row r="289" spans="1:16" ht="18.75" x14ac:dyDescent="0.25">
      <c r="A289" s="157"/>
      <c r="B289" s="53"/>
      <c r="C289" s="53"/>
      <c r="D289" s="53"/>
      <c r="E289" s="60" t="s">
        <v>18</v>
      </c>
      <c r="F289" s="53"/>
      <c r="G289" s="55"/>
      <c r="H289" s="163" t="s">
        <v>12</v>
      </c>
      <c r="I289" s="164"/>
      <c r="J289" s="164"/>
      <c r="K289" s="165"/>
      <c r="L289" s="59">
        <f ca="1">IFERROR(__xludf.DUMMYFUNCTION("IMPORTRANGE(""https://docs.google.com/spreadsheets/d/1kKUcYdkIfrgTSj8iHHHB2MD2FAtwyyocFgqGQn6ADyI/edit?usp=sharing"",""กระบี่!L289"")+IMPORTRANGE(""https://docs.google.com/spreadsheets/d/1GwtLaSlNZkLk7iDqcyZz22giiy40b_usZZBXYciEN1U/edit?usp=sharing"",""ชุ"&amp;"มพร!L289"")+IMPORTRANGE(""https://docs.google.com/spreadsheets/d/16pAz3pOhQEZBhvFNMa5KGgZS6iKWpsKX0pg6tQmwFpo/edit?usp=sharing"",""ตรัง!L289"")+IMPORTRANGE(""https://docs.google.com/spreadsheets/d/1Dj4jcHCTV9JXKCaMoheSXS52JE63kDKyG7bPXnFogHk/edit?usp=shar"&amp;"ing"",""นครศรีธรรมราช!L289"")+IMPORTRANGE(""https://docs.google.com/spreadsheets/d/1iodCdmuK2GR3jzUwk8tpccY2JHQQA-87DLOtJP-ooyU/edit?usp=sharing"",""นราธิวาส!L289"")+IMPORTRANGE(""https://docs.google.com/spreadsheets/d/1SDNX3JhDdYRuIOsj0Wh2M-Qa_eaXl0NbWmh"&amp;"AOTbfQAs/edit?usp=sharing"",""ปัตตานี!L289"")+IMPORTRANGE(""https://docs.google.com/spreadsheets/d/16JDLGguT8s5DsGCND1KcwHP_AWR_zDMTqLHPLJUKhaU/edit?usp=sharing"",""พังงา!L289"")+IMPORTRANGE(""https://docs.google.com/spreadsheets/d/17ht0gPKzzT3PObBL1XJkeR"&amp;"mntBXI7wGjpLV7QorqlTk/edit?usp=sharing"",""พัทลุง!L289"")+IMPORTRANGE(""https://docs.google.com/spreadsheets/d/1rd4qoM1q_hsgaolqNGfrim9gbsoLxQsda4-vOz5x_BM/edit?usp=sharing"",""ภูเก็ต!L289"")+IMPORTRANGE(""https://docs.google.com/spreadsheets/d/1woKwKjgoL"&amp;"ssDvPcPeVyezB5izizAn4X1JDrys69n6xI/edit?usp=sharing"",""ยะลา!L289"")+IMPORTRANGE(""https://docs.google.com/spreadsheets/d/1qfrKjzMhm2HJfxQ-qVlJlJQ25Hne1d0khsySbZyGtPA/edit?usp=sharing"",""ระนอง!L289"")+IMPORTRANGE(""https://docs.google.com/spreadsheets/d/"&amp;"1IbSCnFOKpZsnFogBHJnL_isstZVaOMnFiIN0fGTPZZw/edit?usp=sharing"",""สงขลา!L289"")+IMPORTRANGE(""https://docs.google.com/spreadsheets/d/1q9nWasZJ-K8bFGvbE9n0qSRuKGA4Toe3Y89cKCiVtCU/edit?usp=sharing"",""สตูล!L289"")+IMPORTRANGE(""https://docs.google.com/sprea"&amp;"dsheets/d/18T20gbkS_WBjdscyTOV05cvq_JqvqQ17C81mpxf7Ncs/edit?usp=sharing"",""สุราษฎร์ธานี!L289"")"),0)</f>
        <v>0</v>
      </c>
      <c r="M289" s="59">
        <f ca="1">IFERROR(__xludf.DUMMYFUNCTION("IMPORTRANGE(""https://docs.google.com/spreadsheets/d/1kKUcYdkIfrgTSj8iHHHB2MD2FAtwyyocFgqGQn6ADyI/edit?usp=sharing"",""กระบี่!M289"")+IMPORTRANGE(""https://docs.google.com/spreadsheets/d/1GwtLaSlNZkLk7iDqcyZz22giiy40b_usZZBXYciEN1U/edit?usp=sharing"",""ชุ"&amp;"มพร!M289"")+IMPORTRANGE(""https://docs.google.com/spreadsheets/d/16pAz3pOhQEZBhvFNMa5KGgZS6iKWpsKX0pg6tQmwFpo/edit?usp=sharing"",""ตรัง!M289"")+IMPORTRANGE(""https://docs.google.com/spreadsheets/d/1Dj4jcHCTV9JXKCaMoheSXS52JE63kDKyG7bPXnFogHk/edit?usp=shar"&amp;"ing"",""นครศรีธรรมราช!M289"")+IMPORTRANGE(""https://docs.google.com/spreadsheets/d/1iodCdmuK2GR3jzUwk8tpccY2JHQQA-87DLOtJP-ooyU/edit?usp=sharing"",""นราธิวาส!M289"")+IMPORTRANGE(""https://docs.google.com/spreadsheets/d/1SDNX3JhDdYRuIOsj0Wh2M-Qa_eaXl0NbWmh"&amp;"AOTbfQAs/edit?usp=sharing"",""ปัตตานี!M289"")+IMPORTRANGE(""https://docs.google.com/spreadsheets/d/16JDLGguT8s5DsGCND1KcwHP_AWR_zDMTqLHPLJUKhaU/edit?usp=sharing"",""พังงา!M289"")+IMPORTRANGE(""https://docs.google.com/spreadsheets/d/17ht0gPKzzT3PObBL1XJkeR"&amp;"mntBXI7wGjpLV7QorqlTk/edit?usp=sharing"",""พัทลุง!M289"")+IMPORTRANGE(""https://docs.google.com/spreadsheets/d/1rd4qoM1q_hsgaolqNGfrim9gbsoLxQsda4-vOz5x_BM/edit?usp=sharing"",""ภูเก็ต!M289"")+IMPORTRANGE(""https://docs.google.com/spreadsheets/d/1woKwKjgoL"&amp;"ssDvPcPeVyezB5izizAn4X1JDrys69n6xI/edit?usp=sharing"",""ยะลา!M289"")+IMPORTRANGE(""https://docs.google.com/spreadsheets/d/1qfrKjzMhm2HJfxQ-qVlJlJQ25Hne1d0khsySbZyGtPA/edit?usp=sharing"",""ระนอง!M289"")+IMPORTRANGE(""https://docs.google.com/spreadsheets/d/"&amp;"1IbSCnFOKpZsnFogBHJnL_isstZVaOMnFiIN0fGTPZZw/edit?usp=sharing"",""สงขลา!M289"")+IMPORTRANGE(""https://docs.google.com/spreadsheets/d/1q9nWasZJ-K8bFGvbE9n0qSRuKGA4Toe3Y89cKCiVtCU/edit?usp=sharing"",""สตูล!M289"")+IMPORTRANGE(""https://docs.google.com/sprea"&amp;"dsheets/d/18T20gbkS_WBjdscyTOV05cvq_JqvqQ17C81mpxf7Ncs/edit?usp=sharing"",""สุราษฎร์ธานี!M289"")"),0)</f>
        <v>0</v>
      </c>
      <c r="N289" s="59">
        <f ca="1">IFERROR(__xludf.DUMMYFUNCTION("IMPORTRANGE(""https://docs.google.com/spreadsheets/d/1kKUcYdkIfrgTSj8iHHHB2MD2FAtwyyocFgqGQn6ADyI/edit?usp=sharing"",""กระบี่!N289"")+IMPORTRANGE(""https://docs.google.com/spreadsheets/d/1GwtLaSlNZkLk7iDqcyZz22giiy40b_usZZBXYciEN1U/edit?usp=sharing"",""ชุ"&amp;"มพร!N289"")+IMPORTRANGE(""https://docs.google.com/spreadsheets/d/16pAz3pOhQEZBhvFNMa5KGgZS6iKWpsKX0pg6tQmwFpo/edit?usp=sharing"",""ตรัง!N289"")+IMPORTRANGE(""https://docs.google.com/spreadsheets/d/1Dj4jcHCTV9JXKCaMoheSXS52JE63kDKyG7bPXnFogHk/edit?usp=shar"&amp;"ing"",""นครศรีธรรมราช!N289"")+IMPORTRANGE(""https://docs.google.com/spreadsheets/d/1iodCdmuK2GR3jzUwk8tpccY2JHQQA-87DLOtJP-ooyU/edit?usp=sharing"",""นราธิวาส!N289"")+IMPORTRANGE(""https://docs.google.com/spreadsheets/d/1SDNX3JhDdYRuIOsj0Wh2M-Qa_eaXl0NbWmh"&amp;"AOTbfQAs/edit?usp=sharing"",""ปัตตานี!N289"")+IMPORTRANGE(""https://docs.google.com/spreadsheets/d/16JDLGguT8s5DsGCND1KcwHP_AWR_zDMTqLHPLJUKhaU/edit?usp=sharing"",""พังงา!N289"")+IMPORTRANGE(""https://docs.google.com/spreadsheets/d/17ht0gPKzzT3PObBL1XJkeR"&amp;"mntBXI7wGjpLV7QorqlTk/edit?usp=sharing"",""พัทลุง!N289"")+IMPORTRANGE(""https://docs.google.com/spreadsheets/d/1rd4qoM1q_hsgaolqNGfrim9gbsoLxQsda4-vOz5x_BM/edit?usp=sharing"",""ภูเก็ต!N289"")+IMPORTRANGE(""https://docs.google.com/spreadsheets/d/1woKwKjgoL"&amp;"ssDvPcPeVyezB5izizAn4X1JDrys69n6xI/edit?usp=sharing"",""ยะลา!N289"")+IMPORTRANGE(""https://docs.google.com/spreadsheets/d/1qfrKjzMhm2HJfxQ-qVlJlJQ25Hne1d0khsySbZyGtPA/edit?usp=sharing"",""ระนอง!N289"")+IMPORTRANGE(""https://docs.google.com/spreadsheets/d/"&amp;"1IbSCnFOKpZsnFogBHJnL_isstZVaOMnFiIN0fGTPZZw/edit?usp=sharing"",""สงขลา!N289"")+IMPORTRANGE(""https://docs.google.com/spreadsheets/d/1q9nWasZJ-K8bFGvbE9n0qSRuKGA4Toe3Y89cKCiVtCU/edit?usp=sharing"",""สตูล!N289"")+IMPORTRANGE(""https://docs.google.com/sprea"&amp;"dsheets/d/18T20gbkS_WBjdscyTOV05cvq_JqvqQ17C81mpxf7Ncs/edit?usp=sharing"",""สุราษฎร์ธานี!N289"")"),0)</f>
        <v>0</v>
      </c>
      <c r="O289" s="59">
        <f t="shared" ca="1" si="119"/>
        <v>0</v>
      </c>
      <c r="P289" s="59">
        <f t="shared" ca="1" si="120"/>
        <v>0</v>
      </c>
    </row>
    <row r="290" spans="1:16" ht="18.75" x14ac:dyDescent="0.25">
      <c r="A290" s="157"/>
      <c r="B290" s="53"/>
      <c r="C290" s="53"/>
      <c r="D290" s="53"/>
      <c r="E290" s="60" t="s">
        <v>19</v>
      </c>
      <c r="F290" s="53"/>
      <c r="G290" s="55"/>
      <c r="H290" s="166" t="s">
        <v>12</v>
      </c>
      <c r="I290" s="164"/>
      <c r="J290" s="164"/>
      <c r="K290" s="165"/>
      <c r="L290" s="59">
        <f ca="1">IFERROR(__xludf.DUMMYFUNCTION("IMPORTRANGE(""https://docs.google.com/spreadsheets/d/1kKUcYdkIfrgTSj8iHHHB2MD2FAtwyyocFgqGQn6ADyI/edit?usp=sharing"",""กระบี่!L290"")+IMPORTRANGE(""https://docs.google.com/spreadsheets/d/1GwtLaSlNZkLk7iDqcyZz22giiy40b_usZZBXYciEN1U/edit?usp=sharing"",""ชุ"&amp;"มพร!L290"")+IMPORTRANGE(""https://docs.google.com/spreadsheets/d/16pAz3pOhQEZBhvFNMa5KGgZS6iKWpsKX0pg6tQmwFpo/edit?usp=sharing"",""ตรัง!L290"")+IMPORTRANGE(""https://docs.google.com/spreadsheets/d/1Dj4jcHCTV9JXKCaMoheSXS52JE63kDKyG7bPXnFogHk/edit?usp=shar"&amp;"ing"",""นครศรีธรรมราช!L290"")+IMPORTRANGE(""https://docs.google.com/spreadsheets/d/1iodCdmuK2GR3jzUwk8tpccY2JHQQA-87DLOtJP-ooyU/edit?usp=sharing"",""นราธิวาส!L290"")+IMPORTRANGE(""https://docs.google.com/spreadsheets/d/1SDNX3JhDdYRuIOsj0Wh2M-Qa_eaXl0NbWmh"&amp;"AOTbfQAs/edit?usp=sharing"",""ปัตตานี!L290"")+IMPORTRANGE(""https://docs.google.com/spreadsheets/d/16JDLGguT8s5DsGCND1KcwHP_AWR_zDMTqLHPLJUKhaU/edit?usp=sharing"",""พังงา!L290"")+IMPORTRANGE(""https://docs.google.com/spreadsheets/d/17ht0gPKzzT3PObBL1XJkeR"&amp;"mntBXI7wGjpLV7QorqlTk/edit?usp=sharing"",""พัทลุง!L290"")+IMPORTRANGE(""https://docs.google.com/spreadsheets/d/1rd4qoM1q_hsgaolqNGfrim9gbsoLxQsda4-vOz5x_BM/edit?usp=sharing"",""ภูเก็ต!L290"")+IMPORTRANGE(""https://docs.google.com/spreadsheets/d/1woKwKjgoL"&amp;"ssDvPcPeVyezB5izizAn4X1JDrys69n6xI/edit?usp=sharing"",""ยะลา!L290"")+IMPORTRANGE(""https://docs.google.com/spreadsheets/d/1qfrKjzMhm2HJfxQ-qVlJlJQ25Hne1d0khsySbZyGtPA/edit?usp=sharing"",""ระนอง!L290"")+IMPORTRANGE(""https://docs.google.com/spreadsheets/d/"&amp;"1IbSCnFOKpZsnFogBHJnL_isstZVaOMnFiIN0fGTPZZw/edit?usp=sharing"",""สงขลา!L290"")+IMPORTRANGE(""https://docs.google.com/spreadsheets/d/1q9nWasZJ-K8bFGvbE9n0qSRuKGA4Toe3Y89cKCiVtCU/edit?usp=sharing"",""สตูล!L290"")+IMPORTRANGE(""https://docs.google.com/sprea"&amp;"dsheets/d/18T20gbkS_WBjdscyTOV05cvq_JqvqQ17C81mpxf7Ncs/edit?usp=sharing"",""สุราษฎร์ธานี!L290"")"),0)</f>
        <v>0</v>
      </c>
      <c r="M290" s="59">
        <f ca="1">IFERROR(__xludf.DUMMYFUNCTION("IMPORTRANGE(""https://docs.google.com/spreadsheets/d/1kKUcYdkIfrgTSj8iHHHB2MD2FAtwyyocFgqGQn6ADyI/edit?usp=sharing"",""กระบี่!M290"")+IMPORTRANGE(""https://docs.google.com/spreadsheets/d/1GwtLaSlNZkLk7iDqcyZz22giiy40b_usZZBXYciEN1U/edit?usp=sharing"",""ชุ"&amp;"มพร!M290"")+IMPORTRANGE(""https://docs.google.com/spreadsheets/d/16pAz3pOhQEZBhvFNMa5KGgZS6iKWpsKX0pg6tQmwFpo/edit?usp=sharing"",""ตรัง!M290"")+IMPORTRANGE(""https://docs.google.com/spreadsheets/d/1Dj4jcHCTV9JXKCaMoheSXS52JE63kDKyG7bPXnFogHk/edit?usp=shar"&amp;"ing"",""นครศรีธรรมราช!M290"")+IMPORTRANGE(""https://docs.google.com/spreadsheets/d/1iodCdmuK2GR3jzUwk8tpccY2JHQQA-87DLOtJP-ooyU/edit?usp=sharing"",""นราธิวาส!M290"")+IMPORTRANGE(""https://docs.google.com/spreadsheets/d/1SDNX3JhDdYRuIOsj0Wh2M-Qa_eaXl0NbWmh"&amp;"AOTbfQAs/edit?usp=sharing"",""ปัตตานี!M290"")+IMPORTRANGE(""https://docs.google.com/spreadsheets/d/16JDLGguT8s5DsGCND1KcwHP_AWR_zDMTqLHPLJUKhaU/edit?usp=sharing"",""พังงา!M290"")+IMPORTRANGE(""https://docs.google.com/spreadsheets/d/17ht0gPKzzT3PObBL1XJkeR"&amp;"mntBXI7wGjpLV7QorqlTk/edit?usp=sharing"",""พัทลุง!M290"")+IMPORTRANGE(""https://docs.google.com/spreadsheets/d/1rd4qoM1q_hsgaolqNGfrim9gbsoLxQsda4-vOz5x_BM/edit?usp=sharing"",""ภูเก็ต!M290"")+IMPORTRANGE(""https://docs.google.com/spreadsheets/d/1woKwKjgoL"&amp;"ssDvPcPeVyezB5izizAn4X1JDrys69n6xI/edit?usp=sharing"",""ยะลา!M290"")+IMPORTRANGE(""https://docs.google.com/spreadsheets/d/1qfrKjzMhm2HJfxQ-qVlJlJQ25Hne1d0khsySbZyGtPA/edit?usp=sharing"",""ระนอง!M290"")+IMPORTRANGE(""https://docs.google.com/spreadsheets/d/"&amp;"1IbSCnFOKpZsnFogBHJnL_isstZVaOMnFiIN0fGTPZZw/edit?usp=sharing"",""สงขลา!M290"")+IMPORTRANGE(""https://docs.google.com/spreadsheets/d/1q9nWasZJ-K8bFGvbE9n0qSRuKGA4Toe3Y89cKCiVtCU/edit?usp=sharing"",""สตูล!M290"")+IMPORTRANGE(""https://docs.google.com/sprea"&amp;"dsheets/d/18T20gbkS_WBjdscyTOV05cvq_JqvqQ17C81mpxf7Ncs/edit?usp=sharing"",""สุราษฎร์ธานี!M290"")"),0)</f>
        <v>0</v>
      </c>
      <c r="N290" s="59">
        <f ca="1">IFERROR(__xludf.DUMMYFUNCTION("IMPORTRANGE(""https://docs.google.com/spreadsheets/d/1kKUcYdkIfrgTSj8iHHHB2MD2FAtwyyocFgqGQn6ADyI/edit?usp=sharing"",""กระบี่!N290"")+IMPORTRANGE(""https://docs.google.com/spreadsheets/d/1GwtLaSlNZkLk7iDqcyZz22giiy40b_usZZBXYciEN1U/edit?usp=sharing"",""ชุ"&amp;"มพร!N290"")+IMPORTRANGE(""https://docs.google.com/spreadsheets/d/16pAz3pOhQEZBhvFNMa5KGgZS6iKWpsKX0pg6tQmwFpo/edit?usp=sharing"",""ตรัง!N290"")+IMPORTRANGE(""https://docs.google.com/spreadsheets/d/1Dj4jcHCTV9JXKCaMoheSXS52JE63kDKyG7bPXnFogHk/edit?usp=shar"&amp;"ing"",""นครศรีธรรมราช!N290"")+IMPORTRANGE(""https://docs.google.com/spreadsheets/d/1iodCdmuK2GR3jzUwk8tpccY2JHQQA-87DLOtJP-ooyU/edit?usp=sharing"",""นราธิวาส!N290"")+IMPORTRANGE(""https://docs.google.com/spreadsheets/d/1SDNX3JhDdYRuIOsj0Wh2M-Qa_eaXl0NbWmh"&amp;"AOTbfQAs/edit?usp=sharing"",""ปัตตานี!N290"")+IMPORTRANGE(""https://docs.google.com/spreadsheets/d/16JDLGguT8s5DsGCND1KcwHP_AWR_zDMTqLHPLJUKhaU/edit?usp=sharing"",""พังงา!N290"")+IMPORTRANGE(""https://docs.google.com/spreadsheets/d/17ht0gPKzzT3PObBL1XJkeR"&amp;"mntBXI7wGjpLV7QorqlTk/edit?usp=sharing"",""พัทลุง!N290"")+IMPORTRANGE(""https://docs.google.com/spreadsheets/d/1rd4qoM1q_hsgaolqNGfrim9gbsoLxQsda4-vOz5x_BM/edit?usp=sharing"",""ภูเก็ต!N290"")+IMPORTRANGE(""https://docs.google.com/spreadsheets/d/1woKwKjgoL"&amp;"ssDvPcPeVyezB5izizAn4X1JDrys69n6xI/edit?usp=sharing"",""ยะลา!N290"")+IMPORTRANGE(""https://docs.google.com/spreadsheets/d/1qfrKjzMhm2HJfxQ-qVlJlJQ25Hne1d0khsySbZyGtPA/edit?usp=sharing"",""ระนอง!N290"")+IMPORTRANGE(""https://docs.google.com/spreadsheets/d/"&amp;"1IbSCnFOKpZsnFogBHJnL_isstZVaOMnFiIN0fGTPZZw/edit?usp=sharing"",""สงขลา!N290"")+IMPORTRANGE(""https://docs.google.com/spreadsheets/d/1q9nWasZJ-K8bFGvbE9n0qSRuKGA4Toe3Y89cKCiVtCU/edit?usp=sharing"",""สตูล!N290"")+IMPORTRANGE(""https://docs.google.com/sprea"&amp;"dsheets/d/18T20gbkS_WBjdscyTOV05cvq_JqvqQ17C81mpxf7Ncs/edit?usp=sharing"",""สุราษฎร์ธานี!N290"")"),0)</f>
        <v>0</v>
      </c>
      <c r="O290" s="59">
        <f t="shared" ca="1" si="119"/>
        <v>0</v>
      </c>
      <c r="P290" s="59">
        <f t="shared" ca="1" si="120"/>
        <v>0</v>
      </c>
    </row>
    <row r="291" spans="1:16" ht="19.5" x14ac:dyDescent="0.3">
      <c r="A291" s="167"/>
      <c r="B291" s="168"/>
      <c r="C291" s="158" t="s">
        <v>16</v>
      </c>
      <c r="D291" s="169" t="s">
        <v>36</v>
      </c>
      <c r="E291" s="170"/>
      <c r="F291" s="170"/>
      <c r="G291" s="171"/>
      <c r="H291" s="172"/>
      <c r="I291" s="164"/>
      <c r="J291" s="164"/>
      <c r="K291" s="165"/>
      <c r="L291" s="165"/>
      <c r="M291" s="165"/>
      <c r="N291" s="165"/>
      <c r="O291" s="165"/>
      <c r="P291" s="165"/>
    </row>
    <row r="292" spans="1:16" ht="18.75" x14ac:dyDescent="0.25">
      <c r="A292" s="167"/>
      <c r="B292" s="168"/>
      <c r="C292" s="168"/>
      <c r="D292" s="193" t="s">
        <v>113</v>
      </c>
      <c r="E292" s="168"/>
      <c r="F292" s="174"/>
      <c r="G292" s="172"/>
      <c r="H292" s="183" t="s">
        <v>44</v>
      </c>
      <c r="I292" s="194">
        <f ca="1">IFERROR(__xludf.DUMMYFUNCTION("IMPORTRANGE(""https://docs.google.com/spreadsheets/d/1kKUcYdkIfrgTSj8iHHHB2MD2FAtwyyocFgqGQn6ADyI/edit?usp=sharing"",""กระบี่!I292"")+IMPORTRANGE(""https://docs.google.com/spreadsheets/d/1GwtLaSlNZkLk7iDqcyZz22giiy40b_usZZBXYciEN1U/edit?usp=sharing"",""ชุ"&amp;"มพร!I292"")+IMPORTRANGE(""https://docs.google.com/spreadsheets/d/16pAz3pOhQEZBhvFNMa5KGgZS6iKWpsKX0pg6tQmwFpo/edit?usp=sharing"",""ตรัง!I292"")+IMPORTRANGE(""https://docs.google.com/spreadsheets/d/1Dj4jcHCTV9JXKCaMoheSXS52JE63kDKyG7bPXnFogHk/edit?usp=shar"&amp;"ing"",""นครศรีธรรมราช!I292"")+IMPORTRANGE(""https://docs.google.com/spreadsheets/d/1iodCdmuK2GR3jzUwk8tpccY2JHQQA-87DLOtJP-ooyU/edit?usp=sharing"",""นราธิวาส!I292"")+IMPORTRANGE(""https://docs.google.com/spreadsheets/d/1SDNX3JhDdYRuIOsj0Wh2M-Qa_eaXl0NbWmh"&amp;"AOTbfQAs/edit?usp=sharing"",""ปัตตานี!I292"")+IMPORTRANGE(""https://docs.google.com/spreadsheets/d/16JDLGguT8s5DsGCND1KcwHP_AWR_zDMTqLHPLJUKhaU/edit?usp=sharing"",""พังงา!I292"")+IMPORTRANGE(""https://docs.google.com/spreadsheets/d/17ht0gPKzzT3PObBL1XJkeR"&amp;"mntBXI7wGjpLV7QorqlTk/edit?usp=sharing"",""พัทลุง!I292"")+IMPORTRANGE(""https://docs.google.com/spreadsheets/d/1rd4qoM1q_hsgaolqNGfrim9gbsoLxQsda4-vOz5x_BM/edit?usp=sharing"",""ภูเก็ต!I292"")+IMPORTRANGE(""https://docs.google.com/spreadsheets/d/1woKwKjgoL"&amp;"ssDvPcPeVyezB5izizAn4X1JDrys69n6xI/edit?usp=sharing"",""ยะลา!I292"")+IMPORTRANGE(""https://docs.google.com/spreadsheets/d/1qfrKjzMhm2HJfxQ-qVlJlJQ25Hne1d0khsySbZyGtPA/edit?usp=sharing"",""ระนอง!I292"")+IMPORTRANGE(""https://docs.google.com/spreadsheets/d/"&amp;"1IbSCnFOKpZsnFogBHJnL_isstZVaOMnFiIN0fGTPZZw/edit?usp=sharing"",""สงขลา!I292"")+IMPORTRANGE(""https://docs.google.com/spreadsheets/d/1q9nWasZJ-K8bFGvbE9n0qSRuKGA4Toe3Y89cKCiVtCU/edit?usp=sharing"",""สตูล!I292"")+IMPORTRANGE(""https://docs.google.com/sprea"&amp;"dsheets/d/18T20gbkS_WBjdscyTOV05cvq_JqvqQ17C81mpxf7Ncs/edit?usp=sharing"",""สุราษฎร์ธานี!I292"")"),100)</f>
        <v>100</v>
      </c>
      <c r="J292" s="194">
        <f ca="1">IFERROR(__xludf.DUMMYFUNCTION("IMPORTRANGE(""https://docs.google.com/spreadsheets/d/1kKUcYdkIfrgTSj8iHHHB2MD2FAtwyyocFgqGQn6ADyI/edit?usp=sharing"",""กระบี่!J292"")+IMPORTRANGE(""https://docs.google.com/spreadsheets/d/1GwtLaSlNZkLk7iDqcyZz22giiy40b_usZZBXYciEN1U/edit?usp=sharing"",""ชุ"&amp;"มพร!J292"")+IMPORTRANGE(""https://docs.google.com/spreadsheets/d/16pAz3pOhQEZBhvFNMa5KGgZS6iKWpsKX0pg6tQmwFpo/edit?usp=sharing"",""ตรัง!J292"")+IMPORTRANGE(""https://docs.google.com/spreadsheets/d/1Dj4jcHCTV9JXKCaMoheSXS52JE63kDKyG7bPXnFogHk/edit?usp=shar"&amp;"ing"",""นครศรีธรรมราช!J292"")+IMPORTRANGE(""https://docs.google.com/spreadsheets/d/1iodCdmuK2GR3jzUwk8tpccY2JHQQA-87DLOtJP-ooyU/edit?usp=sharing"",""นราธิวาส!J292"")+IMPORTRANGE(""https://docs.google.com/spreadsheets/d/1SDNX3JhDdYRuIOsj0Wh2M-Qa_eaXl0NbWmh"&amp;"AOTbfQAs/edit?usp=sharing"",""ปัตตานี!J292"")+IMPORTRANGE(""https://docs.google.com/spreadsheets/d/16JDLGguT8s5DsGCND1KcwHP_AWR_zDMTqLHPLJUKhaU/edit?usp=sharing"",""พังงา!J292"")+IMPORTRANGE(""https://docs.google.com/spreadsheets/d/17ht0gPKzzT3PObBL1XJkeR"&amp;"mntBXI7wGjpLV7QorqlTk/edit?usp=sharing"",""พัทลุง!J292"")+IMPORTRANGE(""https://docs.google.com/spreadsheets/d/1rd4qoM1q_hsgaolqNGfrim9gbsoLxQsda4-vOz5x_BM/edit?usp=sharing"",""ภูเก็ต!J292"")+IMPORTRANGE(""https://docs.google.com/spreadsheets/d/1woKwKjgoL"&amp;"ssDvPcPeVyezB5izizAn4X1JDrys69n6xI/edit?usp=sharing"",""ยะลา!J292"")+IMPORTRANGE(""https://docs.google.com/spreadsheets/d/1qfrKjzMhm2HJfxQ-qVlJlJQ25Hne1d0khsySbZyGtPA/edit?usp=sharing"",""ระนอง!J292"")+IMPORTRANGE(""https://docs.google.com/spreadsheets/d/"&amp;"1IbSCnFOKpZsnFogBHJnL_isstZVaOMnFiIN0fGTPZZw/edit?usp=sharing"",""สงขลา!J292"")+IMPORTRANGE(""https://docs.google.com/spreadsheets/d/1q9nWasZJ-K8bFGvbE9n0qSRuKGA4Toe3Y89cKCiVtCU/edit?usp=sharing"",""สตูล!J292"")+IMPORTRANGE(""https://docs.google.com/sprea"&amp;"dsheets/d/18T20gbkS_WBjdscyTOV05cvq_JqvqQ17C81mpxf7Ncs/edit?usp=sharing"",""สุราษฎร์ธานี!J292"")"),0)</f>
        <v>0</v>
      </c>
      <c r="K292" s="182">
        <f t="shared" ref="K292:K293" ca="1" si="125">IF(I292&gt;0,J292*100/I292,0)</f>
        <v>0</v>
      </c>
      <c r="L292" s="165"/>
      <c r="M292" s="165"/>
      <c r="N292" s="165"/>
      <c r="O292" s="165"/>
      <c r="P292" s="165"/>
    </row>
    <row r="293" spans="1:16" ht="19.5" x14ac:dyDescent="0.3">
      <c r="A293" s="167"/>
      <c r="B293" s="168"/>
      <c r="C293" s="168"/>
      <c r="D293" s="178" t="s">
        <v>114</v>
      </c>
      <c r="E293" s="168"/>
      <c r="F293" s="174"/>
      <c r="G293" s="172"/>
      <c r="H293" s="175" t="s">
        <v>33</v>
      </c>
      <c r="I293" s="176">
        <f ca="1">IFERROR(__xludf.DUMMYFUNCTION("IMPORTRANGE(""https://docs.google.com/spreadsheets/d/1kKUcYdkIfrgTSj8iHHHB2MD2FAtwyyocFgqGQn6ADyI/edit?usp=sharing"",""กระบี่!I293"")+IMPORTRANGE(""https://docs.google.com/spreadsheets/d/1GwtLaSlNZkLk7iDqcyZz22giiy40b_usZZBXYciEN1U/edit?usp=sharing"",""ชุ"&amp;"มพร!I293"")+IMPORTRANGE(""https://docs.google.com/spreadsheets/d/16pAz3pOhQEZBhvFNMa5KGgZS6iKWpsKX0pg6tQmwFpo/edit?usp=sharing"",""ตรัง!I293"")+IMPORTRANGE(""https://docs.google.com/spreadsheets/d/1Dj4jcHCTV9JXKCaMoheSXS52JE63kDKyG7bPXnFogHk/edit?usp=shar"&amp;"ing"",""นครศรีธรรมราช!I293"")+IMPORTRANGE(""https://docs.google.com/spreadsheets/d/1iodCdmuK2GR3jzUwk8tpccY2JHQQA-87DLOtJP-ooyU/edit?usp=sharing"",""นราธิวาส!I293"")+IMPORTRANGE(""https://docs.google.com/spreadsheets/d/1SDNX3JhDdYRuIOsj0Wh2M-Qa_eaXl0NbWmh"&amp;"AOTbfQAs/edit?usp=sharing"",""ปัตตานี!I293"")+IMPORTRANGE(""https://docs.google.com/spreadsheets/d/16JDLGguT8s5DsGCND1KcwHP_AWR_zDMTqLHPLJUKhaU/edit?usp=sharing"",""พังงา!I293"")+IMPORTRANGE(""https://docs.google.com/spreadsheets/d/17ht0gPKzzT3PObBL1XJkeR"&amp;"mntBXI7wGjpLV7QorqlTk/edit?usp=sharing"",""พัทลุง!I293"")+IMPORTRANGE(""https://docs.google.com/spreadsheets/d/1rd4qoM1q_hsgaolqNGfrim9gbsoLxQsda4-vOz5x_BM/edit?usp=sharing"",""ภูเก็ต!I293"")+IMPORTRANGE(""https://docs.google.com/spreadsheets/d/1woKwKjgoL"&amp;"ssDvPcPeVyezB5izizAn4X1JDrys69n6xI/edit?usp=sharing"",""ยะลา!I293"")+IMPORTRANGE(""https://docs.google.com/spreadsheets/d/1qfrKjzMhm2HJfxQ-qVlJlJQ25Hne1d0khsySbZyGtPA/edit?usp=sharing"",""ระนอง!I293"")+IMPORTRANGE(""https://docs.google.com/spreadsheets/d/"&amp;"1IbSCnFOKpZsnFogBHJnL_isstZVaOMnFiIN0fGTPZZw/edit?usp=sharing"",""สงขลา!I293"")+IMPORTRANGE(""https://docs.google.com/spreadsheets/d/1q9nWasZJ-K8bFGvbE9n0qSRuKGA4Toe3Y89cKCiVtCU/edit?usp=sharing"",""สตูล!I293"")+IMPORTRANGE(""https://docs.google.com/sprea"&amp;"dsheets/d/18T20gbkS_WBjdscyTOV05cvq_JqvqQ17C81mpxf7Ncs/edit?usp=sharing"",""สุราษฎร์ธานี!I293"")"),10)</f>
        <v>10</v>
      </c>
      <c r="J293" s="176">
        <f ca="1">IFERROR(__xludf.DUMMYFUNCTION("IMPORTRANGE(""https://docs.google.com/spreadsheets/d/1kKUcYdkIfrgTSj8iHHHB2MD2FAtwyyocFgqGQn6ADyI/edit?usp=sharing"",""กระบี่!J293"")+IMPORTRANGE(""https://docs.google.com/spreadsheets/d/1GwtLaSlNZkLk7iDqcyZz22giiy40b_usZZBXYciEN1U/edit?usp=sharing"",""ชุ"&amp;"มพร!J293"")+IMPORTRANGE(""https://docs.google.com/spreadsheets/d/16pAz3pOhQEZBhvFNMa5KGgZS6iKWpsKX0pg6tQmwFpo/edit?usp=sharing"",""ตรัง!J293"")+IMPORTRANGE(""https://docs.google.com/spreadsheets/d/1Dj4jcHCTV9JXKCaMoheSXS52JE63kDKyG7bPXnFogHk/edit?usp=shar"&amp;"ing"",""นครศรีธรรมราช!J293"")+IMPORTRANGE(""https://docs.google.com/spreadsheets/d/1iodCdmuK2GR3jzUwk8tpccY2JHQQA-87DLOtJP-ooyU/edit?usp=sharing"",""นราธิวาส!J293"")+IMPORTRANGE(""https://docs.google.com/spreadsheets/d/1SDNX3JhDdYRuIOsj0Wh2M-Qa_eaXl0NbWmh"&amp;"AOTbfQAs/edit?usp=sharing"",""ปัตตานี!J293"")+IMPORTRANGE(""https://docs.google.com/spreadsheets/d/16JDLGguT8s5DsGCND1KcwHP_AWR_zDMTqLHPLJUKhaU/edit?usp=sharing"",""พังงา!J293"")+IMPORTRANGE(""https://docs.google.com/spreadsheets/d/17ht0gPKzzT3PObBL1XJkeR"&amp;"mntBXI7wGjpLV7QorqlTk/edit?usp=sharing"",""พัทลุง!J293"")+IMPORTRANGE(""https://docs.google.com/spreadsheets/d/1rd4qoM1q_hsgaolqNGfrim9gbsoLxQsda4-vOz5x_BM/edit?usp=sharing"",""ภูเก็ต!J293"")+IMPORTRANGE(""https://docs.google.com/spreadsheets/d/1woKwKjgoL"&amp;"ssDvPcPeVyezB5izizAn4X1JDrys69n6xI/edit?usp=sharing"",""ยะลา!J293"")+IMPORTRANGE(""https://docs.google.com/spreadsheets/d/1qfrKjzMhm2HJfxQ-qVlJlJQ25Hne1d0khsySbZyGtPA/edit?usp=sharing"",""ระนอง!J293"")+IMPORTRANGE(""https://docs.google.com/spreadsheets/d/"&amp;"1IbSCnFOKpZsnFogBHJnL_isstZVaOMnFiIN0fGTPZZw/edit?usp=sharing"",""สงขลา!J293"")+IMPORTRANGE(""https://docs.google.com/spreadsheets/d/1q9nWasZJ-K8bFGvbE9n0qSRuKGA4Toe3Y89cKCiVtCU/edit?usp=sharing"",""สตูล!J293"")+IMPORTRANGE(""https://docs.google.com/sprea"&amp;"dsheets/d/18T20gbkS_WBjdscyTOV05cvq_JqvqQ17C81mpxf7Ncs/edit?usp=sharing"",""สุราษฎร์ธานี!J293"")"),0)</f>
        <v>0</v>
      </c>
      <c r="K293" s="177">
        <f t="shared" ca="1" si="125"/>
        <v>0</v>
      </c>
      <c r="L293" s="165"/>
      <c r="M293" s="165"/>
      <c r="N293" s="165"/>
      <c r="O293" s="165"/>
      <c r="P293" s="165"/>
    </row>
    <row r="294" spans="1:16" ht="19.5" x14ac:dyDescent="0.3">
      <c r="A294" s="167"/>
      <c r="B294" s="168"/>
      <c r="C294" s="168"/>
      <c r="D294" s="174"/>
      <c r="E294" s="368" t="s">
        <v>115</v>
      </c>
      <c r="F294" s="174"/>
      <c r="G294" s="172"/>
      <c r="H294" s="172"/>
      <c r="I294" s="164"/>
      <c r="J294" s="164"/>
      <c r="K294" s="165"/>
      <c r="L294" s="165"/>
      <c r="M294" s="165"/>
      <c r="N294" s="165"/>
      <c r="O294" s="165"/>
      <c r="P294" s="165"/>
    </row>
    <row r="295" spans="1:16" ht="19.5" x14ac:dyDescent="0.3">
      <c r="A295" s="167"/>
      <c r="B295" s="168"/>
      <c r="C295" s="168"/>
      <c r="D295" s="174"/>
      <c r="E295" s="193" t="s">
        <v>116</v>
      </c>
      <c r="F295" s="174"/>
      <c r="G295" s="172"/>
      <c r="H295" s="179" t="s">
        <v>33</v>
      </c>
      <c r="I295" s="180">
        <f ca="1">IFERROR(__xludf.DUMMYFUNCTION("IMPORTRANGE(""https://docs.google.com/spreadsheets/d/1kKUcYdkIfrgTSj8iHHHB2MD2FAtwyyocFgqGQn6ADyI/edit?usp=sharing"",""กระบี่!I295"")+IMPORTRANGE(""https://docs.google.com/spreadsheets/d/1GwtLaSlNZkLk7iDqcyZz22giiy40b_usZZBXYciEN1U/edit?usp=sharing"",""ชุ"&amp;"มพร!I295"")+IMPORTRANGE(""https://docs.google.com/spreadsheets/d/16pAz3pOhQEZBhvFNMa5KGgZS6iKWpsKX0pg6tQmwFpo/edit?usp=sharing"",""ตรัง!I295"")+IMPORTRANGE(""https://docs.google.com/spreadsheets/d/1Dj4jcHCTV9JXKCaMoheSXS52JE63kDKyG7bPXnFogHk/edit?usp=shar"&amp;"ing"",""นครศรีธรรมราช!I295"")+IMPORTRANGE(""https://docs.google.com/spreadsheets/d/1iodCdmuK2GR3jzUwk8tpccY2JHQQA-87DLOtJP-ooyU/edit?usp=sharing"",""นราธิวาส!I295"")+IMPORTRANGE(""https://docs.google.com/spreadsheets/d/1SDNX3JhDdYRuIOsj0Wh2M-Qa_eaXl0NbWmh"&amp;"AOTbfQAs/edit?usp=sharing"",""ปัตตานี!I295"")+IMPORTRANGE(""https://docs.google.com/spreadsheets/d/16JDLGguT8s5DsGCND1KcwHP_AWR_zDMTqLHPLJUKhaU/edit?usp=sharing"",""พังงา!I295"")+IMPORTRANGE(""https://docs.google.com/spreadsheets/d/17ht0gPKzzT3PObBL1XJkeR"&amp;"mntBXI7wGjpLV7QorqlTk/edit?usp=sharing"",""พัทลุง!I295"")+IMPORTRANGE(""https://docs.google.com/spreadsheets/d/1rd4qoM1q_hsgaolqNGfrim9gbsoLxQsda4-vOz5x_BM/edit?usp=sharing"",""ภูเก็ต!I295"")+IMPORTRANGE(""https://docs.google.com/spreadsheets/d/1woKwKjgoL"&amp;"ssDvPcPeVyezB5izizAn4X1JDrys69n6xI/edit?usp=sharing"",""ยะลา!I295"")+IMPORTRANGE(""https://docs.google.com/spreadsheets/d/1qfrKjzMhm2HJfxQ-qVlJlJQ25Hne1d0khsySbZyGtPA/edit?usp=sharing"",""ระนอง!I295"")+IMPORTRANGE(""https://docs.google.com/spreadsheets/d/"&amp;"1IbSCnFOKpZsnFogBHJnL_isstZVaOMnFiIN0fGTPZZw/edit?usp=sharing"",""สงขลา!I295"")+IMPORTRANGE(""https://docs.google.com/spreadsheets/d/1q9nWasZJ-K8bFGvbE9n0qSRuKGA4Toe3Y89cKCiVtCU/edit?usp=sharing"",""สตูล!I295"")+IMPORTRANGE(""https://docs.google.com/sprea"&amp;"dsheets/d/18T20gbkS_WBjdscyTOV05cvq_JqvqQ17C81mpxf7Ncs/edit?usp=sharing"",""สุราษฎร์ธานี!I295"")"),10)</f>
        <v>10</v>
      </c>
      <c r="J295" s="180">
        <f ca="1">IFERROR(__xludf.DUMMYFUNCTION("IMPORTRANGE(""https://docs.google.com/spreadsheets/d/1kKUcYdkIfrgTSj8iHHHB2MD2FAtwyyocFgqGQn6ADyI/edit?usp=sharing"",""กระบี่!J295"")+IMPORTRANGE(""https://docs.google.com/spreadsheets/d/1GwtLaSlNZkLk7iDqcyZz22giiy40b_usZZBXYciEN1U/edit?usp=sharing"",""ชุ"&amp;"มพร!J295"")+IMPORTRANGE(""https://docs.google.com/spreadsheets/d/16pAz3pOhQEZBhvFNMa5KGgZS6iKWpsKX0pg6tQmwFpo/edit?usp=sharing"",""ตรัง!J295"")+IMPORTRANGE(""https://docs.google.com/spreadsheets/d/1Dj4jcHCTV9JXKCaMoheSXS52JE63kDKyG7bPXnFogHk/edit?usp=shar"&amp;"ing"",""นครศรีธรรมราช!J295"")+IMPORTRANGE(""https://docs.google.com/spreadsheets/d/1iodCdmuK2GR3jzUwk8tpccY2JHQQA-87DLOtJP-ooyU/edit?usp=sharing"",""นราธิวาส!J295"")+IMPORTRANGE(""https://docs.google.com/spreadsheets/d/1SDNX3JhDdYRuIOsj0Wh2M-Qa_eaXl0NbWmh"&amp;"AOTbfQAs/edit?usp=sharing"",""ปัตตานี!J295"")+IMPORTRANGE(""https://docs.google.com/spreadsheets/d/16JDLGguT8s5DsGCND1KcwHP_AWR_zDMTqLHPLJUKhaU/edit?usp=sharing"",""พังงา!J295"")+IMPORTRANGE(""https://docs.google.com/spreadsheets/d/17ht0gPKzzT3PObBL1XJkeR"&amp;"mntBXI7wGjpLV7QorqlTk/edit?usp=sharing"",""พัทลุง!J295"")+IMPORTRANGE(""https://docs.google.com/spreadsheets/d/1rd4qoM1q_hsgaolqNGfrim9gbsoLxQsda4-vOz5x_BM/edit?usp=sharing"",""ภูเก็ต!J295"")+IMPORTRANGE(""https://docs.google.com/spreadsheets/d/1woKwKjgoL"&amp;"ssDvPcPeVyezB5izizAn4X1JDrys69n6xI/edit?usp=sharing"",""ยะลา!J295"")+IMPORTRANGE(""https://docs.google.com/spreadsheets/d/1qfrKjzMhm2HJfxQ-qVlJlJQ25Hne1d0khsySbZyGtPA/edit?usp=sharing"",""ระนอง!J295"")+IMPORTRANGE(""https://docs.google.com/spreadsheets/d/"&amp;"1IbSCnFOKpZsnFogBHJnL_isstZVaOMnFiIN0fGTPZZw/edit?usp=sharing"",""สงขลา!J295"")+IMPORTRANGE(""https://docs.google.com/spreadsheets/d/1q9nWasZJ-K8bFGvbE9n0qSRuKGA4Toe3Y89cKCiVtCU/edit?usp=sharing"",""สตูล!J295"")+IMPORTRANGE(""https://docs.google.com/sprea"&amp;"dsheets/d/18T20gbkS_WBjdscyTOV05cvq_JqvqQ17C81mpxf7Ncs/edit?usp=sharing"",""สุราษฎร์ธานี!J295"")"),0)</f>
        <v>0</v>
      </c>
      <c r="K295" s="182">
        <f t="shared" ref="K295:K296" ca="1" si="126">IF(I295&gt;0,J295*100/I295,0)</f>
        <v>0</v>
      </c>
      <c r="L295" s="165"/>
      <c r="M295" s="165"/>
      <c r="N295" s="165"/>
      <c r="O295" s="165"/>
      <c r="P295" s="165"/>
    </row>
    <row r="296" spans="1:16" ht="19.5" x14ac:dyDescent="0.3">
      <c r="A296" s="167"/>
      <c r="B296" s="168"/>
      <c r="C296" s="168"/>
      <c r="D296" s="174"/>
      <c r="E296" s="178" t="s">
        <v>117</v>
      </c>
      <c r="F296" s="174"/>
      <c r="G296" s="172"/>
      <c r="H296" s="179" t="s">
        <v>33</v>
      </c>
      <c r="I296" s="180">
        <f ca="1">IFERROR(__xludf.DUMMYFUNCTION("IMPORTRANGE(""https://docs.google.com/spreadsheets/d/1kKUcYdkIfrgTSj8iHHHB2MD2FAtwyyocFgqGQn6ADyI/edit?usp=sharing"",""กระบี่!I296"")+IMPORTRANGE(""https://docs.google.com/spreadsheets/d/1GwtLaSlNZkLk7iDqcyZz22giiy40b_usZZBXYciEN1U/edit?usp=sharing"",""ชุ"&amp;"มพร!I296"")+IMPORTRANGE(""https://docs.google.com/spreadsheets/d/16pAz3pOhQEZBhvFNMa5KGgZS6iKWpsKX0pg6tQmwFpo/edit?usp=sharing"",""ตรัง!I296"")+IMPORTRANGE(""https://docs.google.com/spreadsheets/d/1Dj4jcHCTV9JXKCaMoheSXS52JE63kDKyG7bPXnFogHk/edit?usp=shar"&amp;"ing"",""นครศรีธรรมราช!I296"")+IMPORTRANGE(""https://docs.google.com/spreadsheets/d/1iodCdmuK2GR3jzUwk8tpccY2JHQQA-87DLOtJP-ooyU/edit?usp=sharing"",""นราธิวาส!I296"")+IMPORTRANGE(""https://docs.google.com/spreadsheets/d/1SDNX3JhDdYRuIOsj0Wh2M-Qa_eaXl0NbWmh"&amp;"AOTbfQAs/edit?usp=sharing"",""ปัตตานี!I296"")+IMPORTRANGE(""https://docs.google.com/spreadsheets/d/16JDLGguT8s5DsGCND1KcwHP_AWR_zDMTqLHPLJUKhaU/edit?usp=sharing"",""พังงา!I296"")+IMPORTRANGE(""https://docs.google.com/spreadsheets/d/17ht0gPKzzT3PObBL1XJkeR"&amp;"mntBXI7wGjpLV7QorqlTk/edit?usp=sharing"",""พัทลุง!I296"")+IMPORTRANGE(""https://docs.google.com/spreadsheets/d/1rd4qoM1q_hsgaolqNGfrim9gbsoLxQsda4-vOz5x_BM/edit?usp=sharing"",""ภูเก็ต!I296"")+IMPORTRANGE(""https://docs.google.com/spreadsheets/d/1woKwKjgoL"&amp;"ssDvPcPeVyezB5izizAn4X1JDrys69n6xI/edit?usp=sharing"",""ยะลา!I296"")+IMPORTRANGE(""https://docs.google.com/spreadsheets/d/1qfrKjzMhm2HJfxQ-qVlJlJQ25Hne1d0khsySbZyGtPA/edit?usp=sharing"",""ระนอง!I296"")+IMPORTRANGE(""https://docs.google.com/spreadsheets/d/"&amp;"1IbSCnFOKpZsnFogBHJnL_isstZVaOMnFiIN0fGTPZZw/edit?usp=sharing"",""สงขลา!I296"")+IMPORTRANGE(""https://docs.google.com/spreadsheets/d/1q9nWasZJ-K8bFGvbE9n0qSRuKGA4Toe3Y89cKCiVtCU/edit?usp=sharing"",""สตูล!I296"")+IMPORTRANGE(""https://docs.google.com/sprea"&amp;"dsheets/d/18T20gbkS_WBjdscyTOV05cvq_JqvqQ17C81mpxf7Ncs/edit?usp=sharing"",""สุราษฎร์ธานี!I296"")"),10)</f>
        <v>10</v>
      </c>
      <c r="J296" s="180">
        <f ca="1">IFERROR(__xludf.DUMMYFUNCTION("IMPORTRANGE(""https://docs.google.com/spreadsheets/d/1kKUcYdkIfrgTSj8iHHHB2MD2FAtwyyocFgqGQn6ADyI/edit?usp=sharing"",""กระบี่!J296"")+IMPORTRANGE(""https://docs.google.com/spreadsheets/d/1GwtLaSlNZkLk7iDqcyZz22giiy40b_usZZBXYciEN1U/edit?usp=sharing"",""ชุ"&amp;"มพร!J296"")+IMPORTRANGE(""https://docs.google.com/spreadsheets/d/16pAz3pOhQEZBhvFNMa5KGgZS6iKWpsKX0pg6tQmwFpo/edit?usp=sharing"",""ตรัง!J296"")+IMPORTRANGE(""https://docs.google.com/spreadsheets/d/1Dj4jcHCTV9JXKCaMoheSXS52JE63kDKyG7bPXnFogHk/edit?usp=shar"&amp;"ing"",""นครศรีธรรมราช!J296"")+IMPORTRANGE(""https://docs.google.com/spreadsheets/d/1iodCdmuK2GR3jzUwk8tpccY2JHQQA-87DLOtJP-ooyU/edit?usp=sharing"",""นราธิวาส!J296"")+IMPORTRANGE(""https://docs.google.com/spreadsheets/d/1SDNX3JhDdYRuIOsj0Wh2M-Qa_eaXl0NbWmh"&amp;"AOTbfQAs/edit?usp=sharing"",""ปัตตานี!J296"")+IMPORTRANGE(""https://docs.google.com/spreadsheets/d/16JDLGguT8s5DsGCND1KcwHP_AWR_zDMTqLHPLJUKhaU/edit?usp=sharing"",""พังงา!J296"")+IMPORTRANGE(""https://docs.google.com/spreadsheets/d/17ht0gPKzzT3PObBL1XJkeR"&amp;"mntBXI7wGjpLV7QorqlTk/edit?usp=sharing"",""พัทลุง!J296"")+IMPORTRANGE(""https://docs.google.com/spreadsheets/d/1rd4qoM1q_hsgaolqNGfrim9gbsoLxQsda4-vOz5x_BM/edit?usp=sharing"",""ภูเก็ต!J296"")+IMPORTRANGE(""https://docs.google.com/spreadsheets/d/1woKwKjgoL"&amp;"ssDvPcPeVyezB5izizAn4X1JDrys69n6xI/edit?usp=sharing"",""ยะลา!J296"")+IMPORTRANGE(""https://docs.google.com/spreadsheets/d/1qfrKjzMhm2HJfxQ-qVlJlJQ25Hne1d0khsySbZyGtPA/edit?usp=sharing"",""ระนอง!J296"")+IMPORTRANGE(""https://docs.google.com/spreadsheets/d/"&amp;"1IbSCnFOKpZsnFogBHJnL_isstZVaOMnFiIN0fGTPZZw/edit?usp=sharing"",""สงขลา!J296"")+IMPORTRANGE(""https://docs.google.com/spreadsheets/d/1q9nWasZJ-K8bFGvbE9n0qSRuKGA4Toe3Y89cKCiVtCU/edit?usp=sharing"",""สตูล!J296"")+IMPORTRANGE(""https://docs.google.com/sprea"&amp;"dsheets/d/18T20gbkS_WBjdscyTOV05cvq_JqvqQ17C81mpxf7Ncs/edit?usp=sharing"",""สุราษฎร์ธานี!J296"")"),0)</f>
        <v>0</v>
      </c>
      <c r="K296" s="182">
        <f t="shared" ca="1" si="126"/>
        <v>0</v>
      </c>
      <c r="L296" s="165"/>
      <c r="M296" s="165"/>
      <c r="N296" s="165"/>
      <c r="O296" s="165"/>
      <c r="P296" s="165"/>
    </row>
    <row r="297" spans="1:16" ht="19.5" hidden="1" x14ac:dyDescent="0.3">
      <c r="A297" s="335"/>
      <c r="B297" s="211"/>
      <c r="C297" s="211"/>
      <c r="D297" s="17"/>
      <c r="E297" s="210"/>
      <c r="F297" s="17"/>
      <c r="G297" s="20"/>
      <c r="H297" s="20"/>
      <c r="I297" s="22"/>
      <c r="J297" s="22"/>
      <c r="K297" s="23"/>
      <c r="L297" s="23"/>
      <c r="M297" s="23"/>
      <c r="N297" s="23"/>
      <c r="O297" s="23"/>
      <c r="P297" s="23"/>
    </row>
    <row r="298" spans="1:16" ht="18.75" hidden="1" x14ac:dyDescent="0.25">
      <c r="A298" s="335"/>
      <c r="B298" s="211"/>
      <c r="C298" s="211"/>
      <c r="D298" s="17"/>
      <c r="E298" s="25"/>
      <c r="F298" s="17"/>
      <c r="G298" s="20"/>
      <c r="H298" s="26"/>
      <c r="I298" s="212"/>
      <c r="J298" s="212"/>
      <c r="K298" s="27"/>
      <c r="L298" s="23"/>
      <c r="M298" s="23"/>
      <c r="N298" s="23"/>
      <c r="O298" s="23"/>
      <c r="P298" s="23"/>
    </row>
    <row r="299" spans="1:16" ht="18.75" hidden="1" x14ac:dyDescent="0.25">
      <c r="A299" s="369"/>
      <c r="B299" s="370"/>
      <c r="C299" s="370"/>
      <c r="D299" s="371"/>
      <c r="E299" s="372"/>
      <c r="F299" s="371"/>
      <c r="G299" s="373"/>
      <c r="H299" s="374"/>
      <c r="I299" s="375"/>
      <c r="J299" s="375"/>
      <c r="K299" s="376"/>
      <c r="L299" s="377"/>
      <c r="M299" s="377"/>
      <c r="N299" s="377"/>
      <c r="O299" s="377"/>
      <c r="P299" s="377"/>
    </row>
    <row r="300" spans="1:16" ht="19.5" x14ac:dyDescent="0.3">
      <c r="A300" s="378" t="s">
        <v>118</v>
      </c>
      <c r="B300" s="379"/>
      <c r="C300" s="379"/>
      <c r="D300" s="379"/>
      <c r="E300" s="380"/>
      <c r="F300" s="380"/>
      <c r="G300" s="380"/>
      <c r="H300" s="380"/>
      <c r="I300" s="381"/>
      <c r="J300" s="381"/>
      <c r="K300" s="382"/>
      <c r="L300" s="382"/>
      <c r="M300" s="382"/>
      <c r="N300" s="382"/>
      <c r="O300" s="382"/>
      <c r="P300" s="383"/>
    </row>
    <row r="301" spans="1:16" ht="19.5" x14ac:dyDescent="0.3">
      <c r="A301" s="384" t="s">
        <v>119</v>
      </c>
      <c r="B301" s="385"/>
      <c r="C301" s="385"/>
      <c r="D301" s="386"/>
      <c r="E301" s="386"/>
      <c r="F301" s="386"/>
      <c r="G301" s="387"/>
      <c r="H301" s="387"/>
      <c r="I301" s="388"/>
      <c r="J301" s="388"/>
      <c r="K301" s="389"/>
      <c r="L301" s="389"/>
      <c r="M301" s="389"/>
      <c r="N301" s="389"/>
      <c r="O301" s="389"/>
      <c r="P301" s="389"/>
    </row>
    <row r="302" spans="1:16" ht="19.5" x14ac:dyDescent="0.3">
      <c r="A302" s="390"/>
      <c r="B302" s="391" t="s">
        <v>120</v>
      </c>
      <c r="C302" s="392"/>
      <c r="D302" s="392"/>
      <c r="E302" s="392"/>
      <c r="F302" s="392"/>
      <c r="G302" s="393"/>
      <c r="H302" s="394" t="s">
        <v>33</v>
      </c>
      <c r="I302" s="395">
        <f t="shared" ref="I302:J302" ca="1" si="127">I314</f>
        <v>35</v>
      </c>
      <c r="J302" s="395">
        <f t="shared" ca="1" si="127"/>
        <v>0</v>
      </c>
      <c r="K302" s="396">
        <f ca="1">IF(I302&gt;0,J302*100/I302,0)</f>
        <v>0</v>
      </c>
      <c r="L302" s="397"/>
      <c r="M302" s="397"/>
      <c r="N302" s="397"/>
      <c r="O302" s="397"/>
      <c r="P302" s="397"/>
    </row>
    <row r="303" spans="1:16" ht="19.5" x14ac:dyDescent="0.3">
      <c r="A303" s="157"/>
      <c r="B303" s="53"/>
      <c r="C303" s="158" t="s">
        <v>16</v>
      </c>
      <c r="D303" s="159" t="s">
        <v>17</v>
      </c>
      <c r="E303" s="53"/>
      <c r="F303" s="53"/>
      <c r="G303" s="55"/>
      <c r="H303" s="160" t="s">
        <v>12</v>
      </c>
      <c r="I303" s="57"/>
      <c r="J303" s="57"/>
      <c r="K303" s="58"/>
      <c r="L303" s="161">
        <f t="shared" ref="L303:N303" ca="1" si="128">L304+L305</f>
        <v>299500</v>
      </c>
      <c r="M303" s="161">
        <f t="shared" ca="1" si="128"/>
        <v>224200</v>
      </c>
      <c r="N303" s="161">
        <f t="shared" ca="1" si="128"/>
        <v>36264.39</v>
      </c>
      <c r="O303" s="161">
        <f t="shared" ref="O303:O311" ca="1" si="129">IF(L303&gt;0,N303*100/L303,0)</f>
        <v>12.108310517529215</v>
      </c>
      <c r="P303" s="161">
        <f t="shared" ref="P303:P311" ca="1" si="130">IF(M303&gt;0,N303*100/M303,0)</f>
        <v>16.175017841213201</v>
      </c>
    </row>
    <row r="304" spans="1:16" ht="18.75" x14ac:dyDescent="0.25">
      <c r="A304" s="157"/>
      <c r="B304" s="53"/>
      <c r="C304" s="53"/>
      <c r="D304" s="53"/>
      <c r="E304" s="60" t="s">
        <v>18</v>
      </c>
      <c r="F304" s="53"/>
      <c r="G304" s="55"/>
      <c r="H304" s="162" t="s">
        <v>12</v>
      </c>
      <c r="I304" s="57"/>
      <c r="J304" s="57"/>
      <c r="K304" s="58"/>
      <c r="L304" s="59">
        <f t="shared" ref="L304:N304" ca="1" si="131">L307+L310</f>
        <v>0</v>
      </c>
      <c r="M304" s="59">
        <f t="shared" ca="1" si="131"/>
        <v>0</v>
      </c>
      <c r="N304" s="59">
        <f t="shared" ca="1" si="131"/>
        <v>0</v>
      </c>
      <c r="O304" s="59">
        <f t="shared" ca="1" si="129"/>
        <v>0</v>
      </c>
      <c r="P304" s="59">
        <f t="shared" ca="1" si="130"/>
        <v>0</v>
      </c>
    </row>
    <row r="305" spans="1:16" ht="18.75" x14ac:dyDescent="0.25">
      <c r="A305" s="157"/>
      <c r="B305" s="53"/>
      <c r="C305" s="53"/>
      <c r="D305" s="53"/>
      <c r="E305" s="60" t="s">
        <v>19</v>
      </c>
      <c r="F305" s="53"/>
      <c r="G305" s="55"/>
      <c r="H305" s="162" t="s">
        <v>12</v>
      </c>
      <c r="I305" s="57"/>
      <c r="J305" s="57"/>
      <c r="K305" s="58"/>
      <c r="L305" s="59">
        <f t="shared" ref="L305:N305" ca="1" si="132">L308+L311</f>
        <v>299500</v>
      </c>
      <c r="M305" s="59">
        <f t="shared" ca="1" si="132"/>
        <v>224200</v>
      </c>
      <c r="N305" s="59">
        <f t="shared" ca="1" si="132"/>
        <v>36264.39</v>
      </c>
      <c r="O305" s="59">
        <f t="shared" ca="1" si="129"/>
        <v>12.108310517529215</v>
      </c>
      <c r="P305" s="59">
        <f t="shared" ca="1" si="130"/>
        <v>16.175017841213201</v>
      </c>
    </row>
    <row r="306" spans="1:16" ht="18.75" x14ac:dyDescent="0.25">
      <c r="A306" s="157"/>
      <c r="B306" s="53"/>
      <c r="C306" s="53"/>
      <c r="D306" s="54" t="s">
        <v>20</v>
      </c>
      <c r="E306" s="53"/>
      <c r="F306" s="53"/>
      <c r="G306" s="55"/>
      <c r="H306" s="163" t="s">
        <v>12</v>
      </c>
      <c r="I306" s="164"/>
      <c r="J306" s="164"/>
      <c r="K306" s="165"/>
      <c r="L306" s="59">
        <f t="shared" ref="L306:N306" ca="1" si="133">L307+L308</f>
        <v>299500</v>
      </c>
      <c r="M306" s="59">
        <f t="shared" ca="1" si="133"/>
        <v>224200</v>
      </c>
      <c r="N306" s="59">
        <f t="shared" ca="1" si="133"/>
        <v>36264.39</v>
      </c>
      <c r="O306" s="59">
        <f t="shared" ca="1" si="129"/>
        <v>12.108310517529215</v>
      </c>
      <c r="P306" s="59">
        <f t="shared" ca="1" si="130"/>
        <v>16.175017841213201</v>
      </c>
    </row>
    <row r="307" spans="1:16" ht="18.75" x14ac:dyDescent="0.25">
      <c r="A307" s="157"/>
      <c r="B307" s="53"/>
      <c r="C307" s="53"/>
      <c r="D307" s="53"/>
      <c r="E307" s="60" t="s">
        <v>34</v>
      </c>
      <c r="F307" s="53"/>
      <c r="G307" s="55"/>
      <c r="H307" s="163" t="s">
        <v>12</v>
      </c>
      <c r="I307" s="164"/>
      <c r="J307" s="164"/>
      <c r="K307" s="165"/>
      <c r="L307" s="59">
        <f ca="1">IFERROR(__xludf.DUMMYFUNCTION("IMPORTRANGE(""https://docs.google.com/spreadsheets/d/1kKUcYdkIfrgTSj8iHHHB2MD2FAtwyyocFgqGQn6ADyI/edit?usp=sharing"",""กระบี่!L307"")+IMPORTRANGE(""https://docs.google.com/spreadsheets/d/1GwtLaSlNZkLk7iDqcyZz22giiy40b_usZZBXYciEN1U/edit?usp=sharing"",""ชุ"&amp;"มพร!L307"")+IMPORTRANGE(""https://docs.google.com/spreadsheets/d/16pAz3pOhQEZBhvFNMa5KGgZS6iKWpsKX0pg6tQmwFpo/edit?usp=sharing"",""ตรัง!L307"")+IMPORTRANGE(""https://docs.google.com/spreadsheets/d/1Dj4jcHCTV9JXKCaMoheSXS52JE63kDKyG7bPXnFogHk/edit?usp=shar"&amp;"ing"",""นครศรีธรรมราช!L307"")+IMPORTRANGE(""https://docs.google.com/spreadsheets/d/1iodCdmuK2GR3jzUwk8tpccY2JHQQA-87DLOtJP-ooyU/edit?usp=sharing"",""นราธิวาส!L307"")+IMPORTRANGE(""https://docs.google.com/spreadsheets/d/1SDNX3JhDdYRuIOsj0Wh2M-Qa_eaXl0NbWmh"&amp;"AOTbfQAs/edit?usp=sharing"",""ปัตตานี!L307"")+IMPORTRANGE(""https://docs.google.com/spreadsheets/d/16JDLGguT8s5DsGCND1KcwHP_AWR_zDMTqLHPLJUKhaU/edit?usp=sharing"",""พังงา!L307"")+IMPORTRANGE(""https://docs.google.com/spreadsheets/d/17ht0gPKzzT3PObBL1XJkeR"&amp;"mntBXI7wGjpLV7QorqlTk/edit?usp=sharing"",""พัทลุง!L307"")+IMPORTRANGE(""https://docs.google.com/spreadsheets/d/1rd4qoM1q_hsgaolqNGfrim9gbsoLxQsda4-vOz5x_BM/edit?usp=sharing"",""ภูเก็ต!L307"")+IMPORTRANGE(""https://docs.google.com/spreadsheets/d/1woKwKjgoL"&amp;"ssDvPcPeVyezB5izizAn4X1JDrys69n6xI/edit?usp=sharing"",""ยะลา!L307"")+IMPORTRANGE(""https://docs.google.com/spreadsheets/d/1qfrKjzMhm2HJfxQ-qVlJlJQ25Hne1d0khsySbZyGtPA/edit?usp=sharing"",""ระนอง!L307"")+IMPORTRANGE(""https://docs.google.com/spreadsheets/d/"&amp;"1IbSCnFOKpZsnFogBHJnL_isstZVaOMnFiIN0fGTPZZw/edit?usp=sharing"",""สงขลา!L307"")+IMPORTRANGE(""https://docs.google.com/spreadsheets/d/1q9nWasZJ-K8bFGvbE9n0qSRuKGA4Toe3Y89cKCiVtCU/edit?usp=sharing"",""สตูล!L307"")+IMPORTRANGE(""https://docs.google.com/sprea"&amp;"dsheets/d/18T20gbkS_WBjdscyTOV05cvq_JqvqQ17C81mpxf7Ncs/edit?usp=sharing"",""สุราษฎร์ธานี!L307"")"),0)</f>
        <v>0</v>
      </c>
      <c r="M307" s="59">
        <f ca="1">IFERROR(__xludf.DUMMYFUNCTION("IMPORTRANGE(""https://docs.google.com/spreadsheets/d/1kKUcYdkIfrgTSj8iHHHB2MD2FAtwyyocFgqGQn6ADyI/edit?usp=sharing"",""กระบี่!M307"")+IMPORTRANGE(""https://docs.google.com/spreadsheets/d/1GwtLaSlNZkLk7iDqcyZz22giiy40b_usZZBXYciEN1U/edit?usp=sharing"",""ชุ"&amp;"มพร!M307"")+IMPORTRANGE(""https://docs.google.com/spreadsheets/d/16pAz3pOhQEZBhvFNMa5KGgZS6iKWpsKX0pg6tQmwFpo/edit?usp=sharing"",""ตรัง!M307"")+IMPORTRANGE(""https://docs.google.com/spreadsheets/d/1Dj4jcHCTV9JXKCaMoheSXS52JE63kDKyG7bPXnFogHk/edit?usp=shar"&amp;"ing"",""นครศรีธรรมราช!M307"")+IMPORTRANGE(""https://docs.google.com/spreadsheets/d/1iodCdmuK2GR3jzUwk8tpccY2JHQQA-87DLOtJP-ooyU/edit?usp=sharing"",""นราธิวาส!M307"")+IMPORTRANGE(""https://docs.google.com/spreadsheets/d/1SDNX3JhDdYRuIOsj0Wh2M-Qa_eaXl0NbWmh"&amp;"AOTbfQAs/edit?usp=sharing"",""ปัตตานี!M307"")+IMPORTRANGE(""https://docs.google.com/spreadsheets/d/16JDLGguT8s5DsGCND1KcwHP_AWR_zDMTqLHPLJUKhaU/edit?usp=sharing"",""พังงา!M307"")+IMPORTRANGE(""https://docs.google.com/spreadsheets/d/17ht0gPKzzT3PObBL1XJkeR"&amp;"mntBXI7wGjpLV7QorqlTk/edit?usp=sharing"",""พัทลุง!M307"")+IMPORTRANGE(""https://docs.google.com/spreadsheets/d/1rd4qoM1q_hsgaolqNGfrim9gbsoLxQsda4-vOz5x_BM/edit?usp=sharing"",""ภูเก็ต!M307"")+IMPORTRANGE(""https://docs.google.com/spreadsheets/d/1woKwKjgoL"&amp;"ssDvPcPeVyezB5izizAn4X1JDrys69n6xI/edit?usp=sharing"",""ยะลา!M307"")+IMPORTRANGE(""https://docs.google.com/spreadsheets/d/1qfrKjzMhm2HJfxQ-qVlJlJQ25Hne1d0khsySbZyGtPA/edit?usp=sharing"",""ระนอง!M307"")+IMPORTRANGE(""https://docs.google.com/spreadsheets/d/"&amp;"1IbSCnFOKpZsnFogBHJnL_isstZVaOMnFiIN0fGTPZZw/edit?usp=sharing"",""สงขลา!M307"")+IMPORTRANGE(""https://docs.google.com/spreadsheets/d/1q9nWasZJ-K8bFGvbE9n0qSRuKGA4Toe3Y89cKCiVtCU/edit?usp=sharing"",""สตูล!M307"")+IMPORTRANGE(""https://docs.google.com/sprea"&amp;"dsheets/d/18T20gbkS_WBjdscyTOV05cvq_JqvqQ17C81mpxf7Ncs/edit?usp=sharing"",""สุราษฎร์ธานี!M307"")"),0)</f>
        <v>0</v>
      </c>
      <c r="N307" s="59">
        <f ca="1">IFERROR(__xludf.DUMMYFUNCTION("IMPORTRANGE(""https://docs.google.com/spreadsheets/d/1kKUcYdkIfrgTSj8iHHHB2MD2FAtwyyocFgqGQn6ADyI/edit?usp=sharing"",""กระบี่!N307"")+IMPORTRANGE(""https://docs.google.com/spreadsheets/d/1GwtLaSlNZkLk7iDqcyZz22giiy40b_usZZBXYciEN1U/edit?usp=sharing"",""ชุ"&amp;"มพร!N307"")+IMPORTRANGE(""https://docs.google.com/spreadsheets/d/16pAz3pOhQEZBhvFNMa5KGgZS6iKWpsKX0pg6tQmwFpo/edit?usp=sharing"",""ตรัง!N307"")+IMPORTRANGE(""https://docs.google.com/spreadsheets/d/1Dj4jcHCTV9JXKCaMoheSXS52JE63kDKyG7bPXnFogHk/edit?usp=shar"&amp;"ing"",""นครศรีธรรมราช!N307"")+IMPORTRANGE(""https://docs.google.com/spreadsheets/d/1iodCdmuK2GR3jzUwk8tpccY2JHQQA-87DLOtJP-ooyU/edit?usp=sharing"",""นราธิวาส!N307"")+IMPORTRANGE(""https://docs.google.com/spreadsheets/d/1SDNX3JhDdYRuIOsj0Wh2M-Qa_eaXl0NbWmh"&amp;"AOTbfQAs/edit?usp=sharing"",""ปัตตานี!N307"")+IMPORTRANGE(""https://docs.google.com/spreadsheets/d/16JDLGguT8s5DsGCND1KcwHP_AWR_zDMTqLHPLJUKhaU/edit?usp=sharing"",""พังงา!N307"")+IMPORTRANGE(""https://docs.google.com/spreadsheets/d/17ht0gPKzzT3PObBL1XJkeR"&amp;"mntBXI7wGjpLV7QorqlTk/edit?usp=sharing"",""พัทลุง!N307"")+IMPORTRANGE(""https://docs.google.com/spreadsheets/d/1rd4qoM1q_hsgaolqNGfrim9gbsoLxQsda4-vOz5x_BM/edit?usp=sharing"",""ภูเก็ต!N307"")+IMPORTRANGE(""https://docs.google.com/spreadsheets/d/1woKwKjgoL"&amp;"ssDvPcPeVyezB5izizAn4X1JDrys69n6xI/edit?usp=sharing"",""ยะลา!N307"")+IMPORTRANGE(""https://docs.google.com/spreadsheets/d/1qfrKjzMhm2HJfxQ-qVlJlJQ25Hne1d0khsySbZyGtPA/edit?usp=sharing"",""ระนอง!N307"")+IMPORTRANGE(""https://docs.google.com/spreadsheets/d/"&amp;"1IbSCnFOKpZsnFogBHJnL_isstZVaOMnFiIN0fGTPZZw/edit?usp=sharing"",""สงขลา!N307"")+IMPORTRANGE(""https://docs.google.com/spreadsheets/d/1q9nWasZJ-K8bFGvbE9n0qSRuKGA4Toe3Y89cKCiVtCU/edit?usp=sharing"",""สตูล!N307"")+IMPORTRANGE(""https://docs.google.com/sprea"&amp;"dsheets/d/18T20gbkS_WBjdscyTOV05cvq_JqvqQ17C81mpxf7Ncs/edit?usp=sharing"",""สุราษฎร์ธานี!N307"")"),0)</f>
        <v>0</v>
      </c>
      <c r="O307" s="59">
        <f t="shared" ca="1" si="129"/>
        <v>0</v>
      </c>
      <c r="P307" s="59">
        <f t="shared" ca="1" si="130"/>
        <v>0</v>
      </c>
    </row>
    <row r="308" spans="1:16" ht="18.75" x14ac:dyDescent="0.25">
      <c r="A308" s="157"/>
      <c r="B308" s="53"/>
      <c r="C308" s="53"/>
      <c r="D308" s="53"/>
      <c r="E308" s="60" t="s">
        <v>35</v>
      </c>
      <c r="F308" s="53"/>
      <c r="G308" s="55"/>
      <c r="H308" s="163" t="s">
        <v>12</v>
      </c>
      <c r="I308" s="164"/>
      <c r="J308" s="164"/>
      <c r="K308" s="165"/>
      <c r="L308" s="59">
        <f ca="1">IFERROR(__xludf.DUMMYFUNCTION("IMPORTRANGE(""https://docs.google.com/spreadsheets/d/1kKUcYdkIfrgTSj8iHHHB2MD2FAtwyyocFgqGQn6ADyI/edit?usp=sharing"",""กระบี่!L308"")+IMPORTRANGE(""https://docs.google.com/spreadsheets/d/1GwtLaSlNZkLk7iDqcyZz22giiy40b_usZZBXYciEN1U/edit?usp=sharing"",""ชุ"&amp;"มพร!L308"")+IMPORTRANGE(""https://docs.google.com/spreadsheets/d/16pAz3pOhQEZBhvFNMa5KGgZS6iKWpsKX0pg6tQmwFpo/edit?usp=sharing"",""ตรัง!L308"")+IMPORTRANGE(""https://docs.google.com/spreadsheets/d/1Dj4jcHCTV9JXKCaMoheSXS52JE63kDKyG7bPXnFogHk/edit?usp=shar"&amp;"ing"",""นครศรีธรรมราช!L308"")+IMPORTRANGE(""https://docs.google.com/spreadsheets/d/1iodCdmuK2GR3jzUwk8tpccY2JHQQA-87DLOtJP-ooyU/edit?usp=sharing"",""นราธิวาส!L308"")+IMPORTRANGE(""https://docs.google.com/spreadsheets/d/1SDNX3JhDdYRuIOsj0Wh2M-Qa_eaXl0NbWmh"&amp;"AOTbfQAs/edit?usp=sharing"",""ปัตตานี!L308"")+IMPORTRANGE(""https://docs.google.com/spreadsheets/d/16JDLGguT8s5DsGCND1KcwHP_AWR_zDMTqLHPLJUKhaU/edit?usp=sharing"",""พังงา!L308"")+IMPORTRANGE(""https://docs.google.com/spreadsheets/d/17ht0gPKzzT3PObBL1XJkeR"&amp;"mntBXI7wGjpLV7QorqlTk/edit?usp=sharing"",""พัทลุง!L308"")+IMPORTRANGE(""https://docs.google.com/spreadsheets/d/1rd4qoM1q_hsgaolqNGfrim9gbsoLxQsda4-vOz5x_BM/edit?usp=sharing"",""ภูเก็ต!L308"")+IMPORTRANGE(""https://docs.google.com/spreadsheets/d/1woKwKjgoL"&amp;"ssDvPcPeVyezB5izizAn4X1JDrys69n6xI/edit?usp=sharing"",""ยะลา!L308"")+IMPORTRANGE(""https://docs.google.com/spreadsheets/d/1qfrKjzMhm2HJfxQ-qVlJlJQ25Hne1d0khsySbZyGtPA/edit?usp=sharing"",""ระนอง!L308"")+IMPORTRANGE(""https://docs.google.com/spreadsheets/d/"&amp;"1IbSCnFOKpZsnFogBHJnL_isstZVaOMnFiIN0fGTPZZw/edit?usp=sharing"",""สงขลา!L308"")+IMPORTRANGE(""https://docs.google.com/spreadsheets/d/1q9nWasZJ-K8bFGvbE9n0qSRuKGA4Toe3Y89cKCiVtCU/edit?usp=sharing"",""สตูล!L308"")+IMPORTRANGE(""https://docs.google.com/sprea"&amp;"dsheets/d/18T20gbkS_WBjdscyTOV05cvq_JqvqQ17C81mpxf7Ncs/edit?usp=sharing"",""สุราษฎร์ธานี!L308"")"),299500)</f>
        <v>299500</v>
      </c>
      <c r="M308" s="59">
        <f ca="1">IFERROR(__xludf.DUMMYFUNCTION("IMPORTRANGE(""https://docs.google.com/spreadsheets/d/1kKUcYdkIfrgTSj8iHHHB2MD2FAtwyyocFgqGQn6ADyI/edit?usp=sharing"",""กระบี่!M308"")+IMPORTRANGE(""https://docs.google.com/spreadsheets/d/1GwtLaSlNZkLk7iDqcyZz22giiy40b_usZZBXYciEN1U/edit?usp=sharing"",""ชุ"&amp;"มพร!M308"")+IMPORTRANGE(""https://docs.google.com/spreadsheets/d/16pAz3pOhQEZBhvFNMa5KGgZS6iKWpsKX0pg6tQmwFpo/edit?usp=sharing"",""ตรัง!M308"")+IMPORTRANGE(""https://docs.google.com/spreadsheets/d/1Dj4jcHCTV9JXKCaMoheSXS52JE63kDKyG7bPXnFogHk/edit?usp=shar"&amp;"ing"",""นครศรีธรรมราช!M308"")+IMPORTRANGE(""https://docs.google.com/spreadsheets/d/1iodCdmuK2GR3jzUwk8tpccY2JHQQA-87DLOtJP-ooyU/edit?usp=sharing"",""นราธิวาส!M308"")+IMPORTRANGE(""https://docs.google.com/spreadsheets/d/1SDNX3JhDdYRuIOsj0Wh2M-Qa_eaXl0NbWmh"&amp;"AOTbfQAs/edit?usp=sharing"",""ปัตตานี!M308"")+IMPORTRANGE(""https://docs.google.com/spreadsheets/d/16JDLGguT8s5DsGCND1KcwHP_AWR_zDMTqLHPLJUKhaU/edit?usp=sharing"",""พังงา!M308"")+IMPORTRANGE(""https://docs.google.com/spreadsheets/d/17ht0gPKzzT3PObBL1XJkeR"&amp;"mntBXI7wGjpLV7QorqlTk/edit?usp=sharing"",""พัทลุง!M308"")+IMPORTRANGE(""https://docs.google.com/spreadsheets/d/1rd4qoM1q_hsgaolqNGfrim9gbsoLxQsda4-vOz5x_BM/edit?usp=sharing"",""ภูเก็ต!M308"")+IMPORTRANGE(""https://docs.google.com/spreadsheets/d/1woKwKjgoL"&amp;"ssDvPcPeVyezB5izizAn4X1JDrys69n6xI/edit?usp=sharing"",""ยะลา!M308"")+IMPORTRANGE(""https://docs.google.com/spreadsheets/d/1qfrKjzMhm2HJfxQ-qVlJlJQ25Hne1d0khsySbZyGtPA/edit?usp=sharing"",""ระนอง!M308"")+IMPORTRANGE(""https://docs.google.com/spreadsheets/d/"&amp;"1IbSCnFOKpZsnFogBHJnL_isstZVaOMnFiIN0fGTPZZw/edit?usp=sharing"",""สงขลา!M308"")+IMPORTRANGE(""https://docs.google.com/spreadsheets/d/1q9nWasZJ-K8bFGvbE9n0qSRuKGA4Toe3Y89cKCiVtCU/edit?usp=sharing"",""สตูล!M308"")+IMPORTRANGE(""https://docs.google.com/sprea"&amp;"dsheets/d/18T20gbkS_WBjdscyTOV05cvq_JqvqQ17C81mpxf7Ncs/edit?usp=sharing"",""สุราษฎร์ธานี!M308"")"),224200)</f>
        <v>224200</v>
      </c>
      <c r="N308" s="59">
        <f ca="1">IFERROR(__xludf.DUMMYFUNCTION("IMPORTRANGE(""https://docs.google.com/spreadsheets/d/1kKUcYdkIfrgTSj8iHHHB2MD2FAtwyyocFgqGQn6ADyI/edit?usp=sharing"",""กระบี่!N308"")+IMPORTRANGE(""https://docs.google.com/spreadsheets/d/1GwtLaSlNZkLk7iDqcyZz22giiy40b_usZZBXYciEN1U/edit?usp=sharing"",""ชุ"&amp;"มพร!N308"")+IMPORTRANGE(""https://docs.google.com/spreadsheets/d/16pAz3pOhQEZBhvFNMa5KGgZS6iKWpsKX0pg6tQmwFpo/edit?usp=sharing"",""ตรัง!N308"")+IMPORTRANGE(""https://docs.google.com/spreadsheets/d/1Dj4jcHCTV9JXKCaMoheSXS52JE63kDKyG7bPXnFogHk/edit?usp=shar"&amp;"ing"",""นครศรีธรรมราช!N308"")+IMPORTRANGE(""https://docs.google.com/spreadsheets/d/1iodCdmuK2GR3jzUwk8tpccY2JHQQA-87DLOtJP-ooyU/edit?usp=sharing"",""นราธิวาส!N308"")+IMPORTRANGE(""https://docs.google.com/spreadsheets/d/1SDNX3JhDdYRuIOsj0Wh2M-Qa_eaXl0NbWmh"&amp;"AOTbfQAs/edit?usp=sharing"",""ปัตตานี!N308"")+IMPORTRANGE(""https://docs.google.com/spreadsheets/d/16JDLGguT8s5DsGCND1KcwHP_AWR_zDMTqLHPLJUKhaU/edit?usp=sharing"",""พังงา!N308"")+IMPORTRANGE(""https://docs.google.com/spreadsheets/d/17ht0gPKzzT3PObBL1XJkeR"&amp;"mntBXI7wGjpLV7QorqlTk/edit?usp=sharing"",""พัทลุง!N308"")+IMPORTRANGE(""https://docs.google.com/spreadsheets/d/1rd4qoM1q_hsgaolqNGfrim9gbsoLxQsda4-vOz5x_BM/edit?usp=sharing"",""ภูเก็ต!N308"")+IMPORTRANGE(""https://docs.google.com/spreadsheets/d/1woKwKjgoL"&amp;"ssDvPcPeVyezB5izizAn4X1JDrys69n6xI/edit?usp=sharing"",""ยะลา!N308"")+IMPORTRANGE(""https://docs.google.com/spreadsheets/d/1qfrKjzMhm2HJfxQ-qVlJlJQ25Hne1d0khsySbZyGtPA/edit?usp=sharing"",""ระนอง!N308"")+IMPORTRANGE(""https://docs.google.com/spreadsheets/d/"&amp;"1IbSCnFOKpZsnFogBHJnL_isstZVaOMnFiIN0fGTPZZw/edit?usp=sharing"",""สงขลา!N308"")+IMPORTRANGE(""https://docs.google.com/spreadsheets/d/1q9nWasZJ-K8bFGvbE9n0qSRuKGA4Toe3Y89cKCiVtCU/edit?usp=sharing"",""สตูล!N308"")+IMPORTRANGE(""https://docs.google.com/sprea"&amp;"dsheets/d/18T20gbkS_WBjdscyTOV05cvq_JqvqQ17C81mpxf7Ncs/edit?usp=sharing"",""สุราษฎร์ธานี!N308"")"),36264.39)</f>
        <v>36264.39</v>
      </c>
      <c r="O308" s="59">
        <f t="shared" ca="1" si="129"/>
        <v>12.108310517529215</v>
      </c>
      <c r="P308" s="59">
        <f t="shared" ca="1" si="130"/>
        <v>16.175017841213201</v>
      </c>
    </row>
    <row r="309" spans="1:16" ht="18.75" x14ac:dyDescent="0.25">
      <c r="A309" s="157"/>
      <c r="B309" s="53"/>
      <c r="C309" s="53"/>
      <c r="D309" s="54" t="s">
        <v>21</v>
      </c>
      <c r="E309" s="53"/>
      <c r="F309" s="53"/>
      <c r="G309" s="55"/>
      <c r="H309" s="166" t="s">
        <v>12</v>
      </c>
      <c r="I309" s="164"/>
      <c r="J309" s="164"/>
      <c r="K309" s="165"/>
      <c r="L309" s="59">
        <f t="shared" ref="L309:N309" ca="1" si="134">L310+L311</f>
        <v>0</v>
      </c>
      <c r="M309" s="59">
        <f t="shared" ca="1" si="134"/>
        <v>0</v>
      </c>
      <c r="N309" s="59">
        <f t="shared" ca="1" si="134"/>
        <v>0</v>
      </c>
      <c r="O309" s="59">
        <f t="shared" ca="1" si="129"/>
        <v>0</v>
      </c>
      <c r="P309" s="59">
        <f t="shared" ca="1" si="130"/>
        <v>0</v>
      </c>
    </row>
    <row r="310" spans="1:16" ht="18.75" x14ac:dyDescent="0.25">
      <c r="A310" s="157"/>
      <c r="B310" s="53"/>
      <c r="C310" s="53"/>
      <c r="D310" s="53"/>
      <c r="E310" s="60" t="s">
        <v>18</v>
      </c>
      <c r="F310" s="53"/>
      <c r="G310" s="55"/>
      <c r="H310" s="163" t="s">
        <v>12</v>
      </c>
      <c r="I310" s="164"/>
      <c r="J310" s="164"/>
      <c r="K310" s="165"/>
      <c r="L310" s="59">
        <f ca="1">IFERROR(__xludf.DUMMYFUNCTION("IMPORTRANGE(""https://docs.google.com/spreadsheets/d/1kKUcYdkIfrgTSj8iHHHB2MD2FAtwyyocFgqGQn6ADyI/edit?usp=sharing"",""กระบี่!L310"")+IMPORTRANGE(""https://docs.google.com/spreadsheets/d/1GwtLaSlNZkLk7iDqcyZz22giiy40b_usZZBXYciEN1U/edit?usp=sharing"",""ชุ"&amp;"มพร!L310"")+IMPORTRANGE(""https://docs.google.com/spreadsheets/d/16pAz3pOhQEZBhvFNMa5KGgZS6iKWpsKX0pg6tQmwFpo/edit?usp=sharing"",""ตรัง!L310"")+IMPORTRANGE(""https://docs.google.com/spreadsheets/d/1Dj4jcHCTV9JXKCaMoheSXS52JE63kDKyG7bPXnFogHk/edit?usp=shar"&amp;"ing"",""นครศรีธรรมราช!L310"")+IMPORTRANGE(""https://docs.google.com/spreadsheets/d/1iodCdmuK2GR3jzUwk8tpccY2JHQQA-87DLOtJP-ooyU/edit?usp=sharing"",""นราธิวาส!L310"")+IMPORTRANGE(""https://docs.google.com/spreadsheets/d/1SDNX3JhDdYRuIOsj0Wh2M-Qa_eaXl0NbWmh"&amp;"AOTbfQAs/edit?usp=sharing"",""ปัตตานี!L310"")+IMPORTRANGE(""https://docs.google.com/spreadsheets/d/16JDLGguT8s5DsGCND1KcwHP_AWR_zDMTqLHPLJUKhaU/edit?usp=sharing"",""พังงา!L310"")+IMPORTRANGE(""https://docs.google.com/spreadsheets/d/17ht0gPKzzT3PObBL1XJkeR"&amp;"mntBXI7wGjpLV7QorqlTk/edit?usp=sharing"",""พัทลุง!L310"")+IMPORTRANGE(""https://docs.google.com/spreadsheets/d/1rd4qoM1q_hsgaolqNGfrim9gbsoLxQsda4-vOz5x_BM/edit?usp=sharing"",""ภูเก็ต!L310"")+IMPORTRANGE(""https://docs.google.com/spreadsheets/d/1woKwKjgoL"&amp;"ssDvPcPeVyezB5izizAn4X1JDrys69n6xI/edit?usp=sharing"",""ยะลา!L310"")+IMPORTRANGE(""https://docs.google.com/spreadsheets/d/1qfrKjzMhm2HJfxQ-qVlJlJQ25Hne1d0khsySbZyGtPA/edit?usp=sharing"",""ระนอง!L310"")+IMPORTRANGE(""https://docs.google.com/spreadsheets/d/"&amp;"1IbSCnFOKpZsnFogBHJnL_isstZVaOMnFiIN0fGTPZZw/edit?usp=sharing"",""สงขลา!L310"")+IMPORTRANGE(""https://docs.google.com/spreadsheets/d/1q9nWasZJ-K8bFGvbE9n0qSRuKGA4Toe3Y89cKCiVtCU/edit?usp=sharing"",""สตูล!L310"")+IMPORTRANGE(""https://docs.google.com/sprea"&amp;"dsheets/d/18T20gbkS_WBjdscyTOV05cvq_JqvqQ17C81mpxf7Ncs/edit?usp=sharing"",""สุราษฎร์ธานี!L310"")"),0)</f>
        <v>0</v>
      </c>
      <c r="M310" s="59">
        <f ca="1">IFERROR(__xludf.DUMMYFUNCTION("IMPORTRANGE(""https://docs.google.com/spreadsheets/d/1kKUcYdkIfrgTSj8iHHHB2MD2FAtwyyocFgqGQn6ADyI/edit?usp=sharing"",""กระบี่!M310"")+IMPORTRANGE(""https://docs.google.com/spreadsheets/d/1GwtLaSlNZkLk7iDqcyZz22giiy40b_usZZBXYciEN1U/edit?usp=sharing"",""ชุ"&amp;"มพร!M310"")+IMPORTRANGE(""https://docs.google.com/spreadsheets/d/16pAz3pOhQEZBhvFNMa5KGgZS6iKWpsKX0pg6tQmwFpo/edit?usp=sharing"",""ตรัง!M310"")+IMPORTRANGE(""https://docs.google.com/spreadsheets/d/1Dj4jcHCTV9JXKCaMoheSXS52JE63kDKyG7bPXnFogHk/edit?usp=shar"&amp;"ing"",""นครศรีธรรมราช!M310"")+IMPORTRANGE(""https://docs.google.com/spreadsheets/d/1iodCdmuK2GR3jzUwk8tpccY2JHQQA-87DLOtJP-ooyU/edit?usp=sharing"",""นราธิวาส!M310"")+IMPORTRANGE(""https://docs.google.com/spreadsheets/d/1SDNX3JhDdYRuIOsj0Wh2M-Qa_eaXl0NbWmh"&amp;"AOTbfQAs/edit?usp=sharing"",""ปัตตานี!M310"")+IMPORTRANGE(""https://docs.google.com/spreadsheets/d/16JDLGguT8s5DsGCND1KcwHP_AWR_zDMTqLHPLJUKhaU/edit?usp=sharing"",""พังงา!M310"")+IMPORTRANGE(""https://docs.google.com/spreadsheets/d/17ht0gPKzzT3PObBL1XJkeR"&amp;"mntBXI7wGjpLV7QorqlTk/edit?usp=sharing"",""พัทลุง!M310"")+IMPORTRANGE(""https://docs.google.com/spreadsheets/d/1rd4qoM1q_hsgaolqNGfrim9gbsoLxQsda4-vOz5x_BM/edit?usp=sharing"",""ภูเก็ต!M310"")+IMPORTRANGE(""https://docs.google.com/spreadsheets/d/1woKwKjgoL"&amp;"ssDvPcPeVyezB5izizAn4X1JDrys69n6xI/edit?usp=sharing"",""ยะลา!M310"")+IMPORTRANGE(""https://docs.google.com/spreadsheets/d/1qfrKjzMhm2HJfxQ-qVlJlJQ25Hne1d0khsySbZyGtPA/edit?usp=sharing"",""ระนอง!M310"")+IMPORTRANGE(""https://docs.google.com/spreadsheets/d/"&amp;"1IbSCnFOKpZsnFogBHJnL_isstZVaOMnFiIN0fGTPZZw/edit?usp=sharing"",""สงขลา!M310"")+IMPORTRANGE(""https://docs.google.com/spreadsheets/d/1q9nWasZJ-K8bFGvbE9n0qSRuKGA4Toe3Y89cKCiVtCU/edit?usp=sharing"",""สตูล!M310"")+IMPORTRANGE(""https://docs.google.com/sprea"&amp;"dsheets/d/18T20gbkS_WBjdscyTOV05cvq_JqvqQ17C81mpxf7Ncs/edit?usp=sharing"",""สุราษฎร์ธานี!M310"")"),0)</f>
        <v>0</v>
      </c>
      <c r="N310" s="59">
        <f ca="1">IFERROR(__xludf.DUMMYFUNCTION("IMPORTRANGE(""https://docs.google.com/spreadsheets/d/1kKUcYdkIfrgTSj8iHHHB2MD2FAtwyyocFgqGQn6ADyI/edit?usp=sharing"",""กระบี่!N310"")+IMPORTRANGE(""https://docs.google.com/spreadsheets/d/1GwtLaSlNZkLk7iDqcyZz22giiy40b_usZZBXYciEN1U/edit?usp=sharing"",""ชุ"&amp;"มพร!N310"")+IMPORTRANGE(""https://docs.google.com/spreadsheets/d/16pAz3pOhQEZBhvFNMa5KGgZS6iKWpsKX0pg6tQmwFpo/edit?usp=sharing"",""ตรัง!N310"")+IMPORTRANGE(""https://docs.google.com/spreadsheets/d/1Dj4jcHCTV9JXKCaMoheSXS52JE63kDKyG7bPXnFogHk/edit?usp=shar"&amp;"ing"",""นครศรีธรรมราช!N310"")+IMPORTRANGE(""https://docs.google.com/spreadsheets/d/1iodCdmuK2GR3jzUwk8tpccY2JHQQA-87DLOtJP-ooyU/edit?usp=sharing"",""นราธิวาส!N310"")+IMPORTRANGE(""https://docs.google.com/spreadsheets/d/1SDNX3JhDdYRuIOsj0Wh2M-Qa_eaXl0NbWmh"&amp;"AOTbfQAs/edit?usp=sharing"",""ปัตตานี!N310"")+IMPORTRANGE(""https://docs.google.com/spreadsheets/d/16JDLGguT8s5DsGCND1KcwHP_AWR_zDMTqLHPLJUKhaU/edit?usp=sharing"",""พังงา!N310"")+IMPORTRANGE(""https://docs.google.com/spreadsheets/d/17ht0gPKzzT3PObBL1XJkeR"&amp;"mntBXI7wGjpLV7QorqlTk/edit?usp=sharing"",""พัทลุง!N310"")+IMPORTRANGE(""https://docs.google.com/spreadsheets/d/1rd4qoM1q_hsgaolqNGfrim9gbsoLxQsda4-vOz5x_BM/edit?usp=sharing"",""ภูเก็ต!N310"")+IMPORTRANGE(""https://docs.google.com/spreadsheets/d/1woKwKjgoL"&amp;"ssDvPcPeVyezB5izizAn4X1JDrys69n6xI/edit?usp=sharing"",""ยะลา!N310"")+IMPORTRANGE(""https://docs.google.com/spreadsheets/d/1qfrKjzMhm2HJfxQ-qVlJlJQ25Hne1d0khsySbZyGtPA/edit?usp=sharing"",""ระนอง!N310"")+IMPORTRANGE(""https://docs.google.com/spreadsheets/d/"&amp;"1IbSCnFOKpZsnFogBHJnL_isstZVaOMnFiIN0fGTPZZw/edit?usp=sharing"",""สงขลา!N310"")+IMPORTRANGE(""https://docs.google.com/spreadsheets/d/1q9nWasZJ-K8bFGvbE9n0qSRuKGA4Toe3Y89cKCiVtCU/edit?usp=sharing"",""สตูล!N310"")+IMPORTRANGE(""https://docs.google.com/sprea"&amp;"dsheets/d/18T20gbkS_WBjdscyTOV05cvq_JqvqQ17C81mpxf7Ncs/edit?usp=sharing"",""สุราษฎร์ธานี!N310"")"),0)</f>
        <v>0</v>
      </c>
      <c r="O310" s="59">
        <f t="shared" ca="1" si="129"/>
        <v>0</v>
      </c>
      <c r="P310" s="59">
        <f t="shared" ca="1" si="130"/>
        <v>0</v>
      </c>
    </row>
    <row r="311" spans="1:16" ht="18.75" x14ac:dyDescent="0.25">
      <c r="A311" s="157"/>
      <c r="B311" s="53"/>
      <c r="C311" s="53"/>
      <c r="D311" s="53"/>
      <c r="E311" s="60" t="s">
        <v>19</v>
      </c>
      <c r="F311" s="53"/>
      <c r="G311" s="55"/>
      <c r="H311" s="166" t="s">
        <v>12</v>
      </c>
      <c r="I311" s="164"/>
      <c r="J311" s="164"/>
      <c r="K311" s="165"/>
      <c r="L311" s="59">
        <f ca="1">IFERROR(__xludf.DUMMYFUNCTION("IMPORTRANGE(""https://docs.google.com/spreadsheets/d/1kKUcYdkIfrgTSj8iHHHB2MD2FAtwyyocFgqGQn6ADyI/edit?usp=sharing"",""กระบี่!L311"")+IMPORTRANGE(""https://docs.google.com/spreadsheets/d/1GwtLaSlNZkLk7iDqcyZz22giiy40b_usZZBXYciEN1U/edit?usp=sharing"",""ชุ"&amp;"มพร!L311"")+IMPORTRANGE(""https://docs.google.com/spreadsheets/d/16pAz3pOhQEZBhvFNMa5KGgZS6iKWpsKX0pg6tQmwFpo/edit?usp=sharing"",""ตรัง!L311"")+IMPORTRANGE(""https://docs.google.com/spreadsheets/d/1Dj4jcHCTV9JXKCaMoheSXS52JE63kDKyG7bPXnFogHk/edit?usp=shar"&amp;"ing"",""นครศรีธรรมราช!L311"")+IMPORTRANGE(""https://docs.google.com/spreadsheets/d/1iodCdmuK2GR3jzUwk8tpccY2JHQQA-87DLOtJP-ooyU/edit?usp=sharing"",""นราธิวาส!L311"")+IMPORTRANGE(""https://docs.google.com/spreadsheets/d/1SDNX3JhDdYRuIOsj0Wh2M-Qa_eaXl0NbWmh"&amp;"AOTbfQAs/edit?usp=sharing"",""ปัตตานี!L311"")+IMPORTRANGE(""https://docs.google.com/spreadsheets/d/16JDLGguT8s5DsGCND1KcwHP_AWR_zDMTqLHPLJUKhaU/edit?usp=sharing"",""พังงา!L311"")+IMPORTRANGE(""https://docs.google.com/spreadsheets/d/17ht0gPKzzT3PObBL1XJkeR"&amp;"mntBXI7wGjpLV7QorqlTk/edit?usp=sharing"",""พัทลุง!L311"")+IMPORTRANGE(""https://docs.google.com/spreadsheets/d/1rd4qoM1q_hsgaolqNGfrim9gbsoLxQsda4-vOz5x_BM/edit?usp=sharing"",""ภูเก็ต!L311"")+IMPORTRANGE(""https://docs.google.com/spreadsheets/d/1woKwKjgoL"&amp;"ssDvPcPeVyezB5izizAn4X1JDrys69n6xI/edit?usp=sharing"",""ยะลา!L311"")+IMPORTRANGE(""https://docs.google.com/spreadsheets/d/1qfrKjzMhm2HJfxQ-qVlJlJQ25Hne1d0khsySbZyGtPA/edit?usp=sharing"",""ระนอง!L311"")+IMPORTRANGE(""https://docs.google.com/spreadsheets/d/"&amp;"1IbSCnFOKpZsnFogBHJnL_isstZVaOMnFiIN0fGTPZZw/edit?usp=sharing"",""สงขลา!L311"")+IMPORTRANGE(""https://docs.google.com/spreadsheets/d/1q9nWasZJ-K8bFGvbE9n0qSRuKGA4Toe3Y89cKCiVtCU/edit?usp=sharing"",""สตูล!L311"")+IMPORTRANGE(""https://docs.google.com/sprea"&amp;"dsheets/d/18T20gbkS_WBjdscyTOV05cvq_JqvqQ17C81mpxf7Ncs/edit?usp=sharing"",""สุราษฎร์ธานี!L311"")"),0)</f>
        <v>0</v>
      </c>
      <c r="M311" s="59">
        <f ca="1">IFERROR(__xludf.DUMMYFUNCTION("IMPORTRANGE(""https://docs.google.com/spreadsheets/d/1kKUcYdkIfrgTSj8iHHHB2MD2FAtwyyocFgqGQn6ADyI/edit?usp=sharing"",""กระบี่!M311"")+IMPORTRANGE(""https://docs.google.com/spreadsheets/d/1GwtLaSlNZkLk7iDqcyZz22giiy40b_usZZBXYciEN1U/edit?usp=sharing"",""ชุ"&amp;"มพร!M311"")+IMPORTRANGE(""https://docs.google.com/spreadsheets/d/16pAz3pOhQEZBhvFNMa5KGgZS6iKWpsKX0pg6tQmwFpo/edit?usp=sharing"",""ตรัง!M311"")+IMPORTRANGE(""https://docs.google.com/spreadsheets/d/1Dj4jcHCTV9JXKCaMoheSXS52JE63kDKyG7bPXnFogHk/edit?usp=shar"&amp;"ing"",""นครศรีธรรมราช!M311"")+IMPORTRANGE(""https://docs.google.com/spreadsheets/d/1iodCdmuK2GR3jzUwk8tpccY2JHQQA-87DLOtJP-ooyU/edit?usp=sharing"",""นราธิวาส!M311"")+IMPORTRANGE(""https://docs.google.com/spreadsheets/d/1SDNX3JhDdYRuIOsj0Wh2M-Qa_eaXl0NbWmh"&amp;"AOTbfQAs/edit?usp=sharing"",""ปัตตานี!M311"")+IMPORTRANGE(""https://docs.google.com/spreadsheets/d/16JDLGguT8s5DsGCND1KcwHP_AWR_zDMTqLHPLJUKhaU/edit?usp=sharing"",""พังงา!M311"")+IMPORTRANGE(""https://docs.google.com/spreadsheets/d/17ht0gPKzzT3PObBL1XJkeR"&amp;"mntBXI7wGjpLV7QorqlTk/edit?usp=sharing"",""พัทลุง!M311"")+IMPORTRANGE(""https://docs.google.com/spreadsheets/d/1rd4qoM1q_hsgaolqNGfrim9gbsoLxQsda4-vOz5x_BM/edit?usp=sharing"",""ภูเก็ต!M311"")+IMPORTRANGE(""https://docs.google.com/spreadsheets/d/1woKwKjgoL"&amp;"ssDvPcPeVyezB5izizAn4X1JDrys69n6xI/edit?usp=sharing"",""ยะลา!M311"")+IMPORTRANGE(""https://docs.google.com/spreadsheets/d/1qfrKjzMhm2HJfxQ-qVlJlJQ25Hne1d0khsySbZyGtPA/edit?usp=sharing"",""ระนอง!M311"")+IMPORTRANGE(""https://docs.google.com/spreadsheets/d/"&amp;"1IbSCnFOKpZsnFogBHJnL_isstZVaOMnFiIN0fGTPZZw/edit?usp=sharing"",""สงขลา!M311"")+IMPORTRANGE(""https://docs.google.com/spreadsheets/d/1q9nWasZJ-K8bFGvbE9n0qSRuKGA4Toe3Y89cKCiVtCU/edit?usp=sharing"",""สตูล!M311"")+IMPORTRANGE(""https://docs.google.com/sprea"&amp;"dsheets/d/18T20gbkS_WBjdscyTOV05cvq_JqvqQ17C81mpxf7Ncs/edit?usp=sharing"",""สุราษฎร์ธานี!M311"")"),0)</f>
        <v>0</v>
      </c>
      <c r="N311" s="59">
        <f ca="1">IFERROR(__xludf.DUMMYFUNCTION("IMPORTRANGE(""https://docs.google.com/spreadsheets/d/1kKUcYdkIfrgTSj8iHHHB2MD2FAtwyyocFgqGQn6ADyI/edit?usp=sharing"",""กระบี่!N311"")+IMPORTRANGE(""https://docs.google.com/spreadsheets/d/1GwtLaSlNZkLk7iDqcyZz22giiy40b_usZZBXYciEN1U/edit?usp=sharing"",""ชุ"&amp;"มพร!N311"")+IMPORTRANGE(""https://docs.google.com/spreadsheets/d/16pAz3pOhQEZBhvFNMa5KGgZS6iKWpsKX0pg6tQmwFpo/edit?usp=sharing"",""ตรัง!N311"")+IMPORTRANGE(""https://docs.google.com/spreadsheets/d/1Dj4jcHCTV9JXKCaMoheSXS52JE63kDKyG7bPXnFogHk/edit?usp=shar"&amp;"ing"",""นครศรีธรรมราช!N311"")+IMPORTRANGE(""https://docs.google.com/spreadsheets/d/1iodCdmuK2GR3jzUwk8tpccY2JHQQA-87DLOtJP-ooyU/edit?usp=sharing"",""นราธิวาส!N311"")+IMPORTRANGE(""https://docs.google.com/spreadsheets/d/1SDNX3JhDdYRuIOsj0Wh2M-Qa_eaXl0NbWmh"&amp;"AOTbfQAs/edit?usp=sharing"",""ปัตตานี!N311"")+IMPORTRANGE(""https://docs.google.com/spreadsheets/d/16JDLGguT8s5DsGCND1KcwHP_AWR_zDMTqLHPLJUKhaU/edit?usp=sharing"",""พังงา!N311"")+IMPORTRANGE(""https://docs.google.com/spreadsheets/d/17ht0gPKzzT3PObBL1XJkeR"&amp;"mntBXI7wGjpLV7QorqlTk/edit?usp=sharing"",""พัทลุง!N311"")+IMPORTRANGE(""https://docs.google.com/spreadsheets/d/1rd4qoM1q_hsgaolqNGfrim9gbsoLxQsda4-vOz5x_BM/edit?usp=sharing"",""ภูเก็ต!N311"")+IMPORTRANGE(""https://docs.google.com/spreadsheets/d/1woKwKjgoL"&amp;"ssDvPcPeVyezB5izizAn4X1JDrys69n6xI/edit?usp=sharing"",""ยะลา!N311"")+IMPORTRANGE(""https://docs.google.com/spreadsheets/d/1qfrKjzMhm2HJfxQ-qVlJlJQ25Hne1d0khsySbZyGtPA/edit?usp=sharing"",""ระนอง!N311"")+IMPORTRANGE(""https://docs.google.com/spreadsheets/d/"&amp;"1IbSCnFOKpZsnFogBHJnL_isstZVaOMnFiIN0fGTPZZw/edit?usp=sharing"",""สงขลา!N311"")+IMPORTRANGE(""https://docs.google.com/spreadsheets/d/1q9nWasZJ-K8bFGvbE9n0qSRuKGA4Toe3Y89cKCiVtCU/edit?usp=sharing"",""สตูล!N311"")+IMPORTRANGE(""https://docs.google.com/sprea"&amp;"dsheets/d/18T20gbkS_WBjdscyTOV05cvq_JqvqQ17C81mpxf7Ncs/edit?usp=sharing"",""สุราษฎร์ธานี!N311"")"),0)</f>
        <v>0</v>
      </c>
      <c r="O311" s="59">
        <f t="shared" ca="1" si="129"/>
        <v>0</v>
      </c>
      <c r="P311" s="59">
        <f t="shared" ca="1" si="130"/>
        <v>0</v>
      </c>
    </row>
    <row r="312" spans="1:16" ht="19.5" x14ac:dyDescent="0.3">
      <c r="A312" s="167"/>
      <c r="B312" s="168"/>
      <c r="C312" s="158" t="s">
        <v>16</v>
      </c>
      <c r="D312" s="169" t="s">
        <v>36</v>
      </c>
      <c r="E312" s="170"/>
      <c r="F312" s="170"/>
      <c r="G312" s="171"/>
      <c r="H312" s="172"/>
      <c r="I312" s="57"/>
      <c r="J312" s="57"/>
      <c r="K312" s="58"/>
      <c r="L312" s="58"/>
      <c r="M312" s="58"/>
      <c r="N312" s="58"/>
      <c r="O312" s="58"/>
      <c r="P312" s="58"/>
    </row>
    <row r="313" spans="1:16" ht="18.75" x14ac:dyDescent="0.25">
      <c r="A313" s="167"/>
      <c r="B313" s="168"/>
      <c r="C313" s="168"/>
      <c r="D313" s="193" t="s">
        <v>121</v>
      </c>
      <c r="E313" s="174"/>
      <c r="F313" s="174"/>
      <c r="G313" s="172"/>
      <c r="H313" s="172"/>
      <c r="I313" s="57"/>
      <c r="J313" s="181">
        <f ca="1">IFERROR(__xludf.DUMMYFUNCTION("IMPORTRANGE(""https://docs.google.com/spreadsheets/d/1kKUcYdkIfrgTSj8iHHHB2MD2FAtwyyocFgqGQn6ADyI/edit?usp=sharing"",""กระบี่!J313"")+IMPORTRANGE(""https://docs.google.com/spreadsheets/d/1GwtLaSlNZkLk7iDqcyZz22giiy40b_usZZBXYciEN1U/edit?usp=sharing"",""ชุ"&amp;"มพร!J313"")+IMPORTRANGE(""https://docs.google.com/spreadsheets/d/16pAz3pOhQEZBhvFNMa5KGgZS6iKWpsKX0pg6tQmwFpo/edit?usp=sharing"",""ตรัง!J313"")+IMPORTRANGE(""https://docs.google.com/spreadsheets/d/1Dj4jcHCTV9JXKCaMoheSXS52JE63kDKyG7bPXnFogHk/edit?usp=shar"&amp;"ing"",""นครศรีธรรมราช!J313"")+IMPORTRANGE(""https://docs.google.com/spreadsheets/d/1iodCdmuK2GR3jzUwk8tpccY2JHQQA-87DLOtJP-ooyU/edit?usp=sharing"",""นราธิวาส!J313"")+IMPORTRANGE(""https://docs.google.com/spreadsheets/d/1SDNX3JhDdYRuIOsj0Wh2M-Qa_eaXl0NbWmh"&amp;"AOTbfQAs/edit?usp=sharing"",""ปัตตานี!J313"")+IMPORTRANGE(""https://docs.google.com/spreadsheets/d/16JDLGguT8s5DsGCND1KcwHP_AWR_zDMTqLHPLJUKhaU/edit?usp=sharing"",""พังงา!J313"")+IMPORTRANGE(""https://docs.google.com/spreadsheets/d/17ht0gPKzzT3PObBL1XJkeR"&amp;"mntBXI7wGjpLV7QorqlTk/edit?usp=sharing"",""พัทลุง!J313"")+IMPORTRANGE(""https://docs.google.com/spreadsheets/d/1rd4qoM1q_hsgaolqNGfrim9gbsoLxQsda4-vOz5x_BM/edit?usp=sharing"",""ภูเก็ต!J313"")+IMPORTRANGE(""https://docs.google.com/spreadsheets/d/1woKwKjgoL"&amp;"ssDvPcPeVyezB5izizAn4X1JDrys69n6xI/edit?usp=sharing"",""ยะลา!J313"")+IMPORTRANGE(""https://docs.google.com/spreadsheets/d/1qfrKjzMhm2HJfxQ-qVlJlJQ25Hne1d0khsySbZyGtPA/edit?usp=sharing"",""ระนอง!J313"")+IMPORTRANGE(""https://docs.google.com/spreadsheets/d/"&amp;"1IbSCnFOKpZsnFogBHJnL_isstZVaOMnFiIN0fGTPZZw/edit?usp=sharing"",""สงขลา!J313"")+IMPORTRANGE(""https://docs.google.com/spreadsheets/d/1q9nWasZJ-K8bFGvbE9n0qSRuKGA4Toe3Y89cKCiVtCU/edit?usp=sharing"",""สตูล!J313"")+IMPORTRANGE(""https://docs.google.com/sprea"&amp;"dsheets/d/18T20gbkS_WBjdscyTOV05cvq_JqvqQ17C81mpxf7Ncs/edit?usp=sharing"",""สุราษฎร์ธานี!J313"")"),0)</f>
        <v>0</v>
      </c>
      <c r="K313" s="58"/>
      <c r="L313" s="58"/>
      <c r="M313" s="58"/>
      <c r="N313" s="58"/>
      <c r="O313" s="58"/>
      <c r="P313" s="58"/>
    </row>
    <row r="314" spans="1:16" ht="18.75" x14ac:dyDescent="0.25">
      <c r="A314" s="167"/>
      <c r="B314" s="168"/>
      <c r="C314" s="168"/>
      <c r="D314" s="178" t="s">
        <v>114</v>
      </c>
      <c r="E314" s="174"/>
      <c r="F314" s="174"/>
      <c r="G314" s="172"/>
      <c r="H314" s="179" t="s">
        <v>33</v>
      </c>
      <c r="I314" s="194">
        <f ca="1">IFERROR(__xludf.DUMMYFUNCTION("IMPORTRANGE(""https://docs.google.com/spreadsheets/d/1kKUcYdkIfrgTSj8iHHHB2MD2FAtwyyocFgqGQn6ADyI/edit?usp=sharing"",""กระบี่!I314"")+IMPORTRANGE(""https://docs.google.com/spreadsheets/d/1GwtLaSlNZkLk7iDqcyZz22giiy40b_usZZBXYciEN1U/edit?usp=sharing"",""ชุ"&amp;"มพร!I314"")+IMPORTRANGE(""https://docs.google.com/spreadsheets/d/16pAz3pOhQEZBhvFNMa5KGgZS6iKWpsKX0pg6tQmwFpo/edit?usp=sharing"",""ตรัง!I314"")+IMPORTRANGE(""https://docs.google.com/spreadsheets/d/1Dj4jcHCTV9JXKCaMoheSXS52JE63kDKyG7bPXnFogHk/edit?usp=shar"&amp;"ing"",""นครศรีธรรมราช!I314"")+IMPORTRANGE(""https://docs.google.com/spreadsheets/d/1iodCdmuK2GR3jzUwk8tpccY2JHQQA-87DLOtJP-ooyU/edit?usp=sharing"",""นราธิวาส!I314"")+IMPORTRANGE(""https://docs.google.com/spreadsheets/d/1SDNX3JhDdYRuIOsj0Wh2M-Qa_eaXl0NbWmh"&amp;"AOTbfQAs/edit?usp=sharing"",""ปัตตานี!I314"")+IMPORTRANGE(""https://docs.google.com/spreadsheets/d/16JDLGguT8s5DsGCND1KcwHP_AWR_zDMTqLHPLJUKhaU/edit?usp=sharing"",""พังงา!I314"")+IMPORTRANGE(""https://docs.google.com/spreadsheets/d/17ht0gPKzzT3PObBL1XJkeR"&amp;"mntBXI7wGjpLV7QorqlTk/edit?usp=sharing"",""พัทลุง!I314"")+IMPORTRANGE(""https://docs.google.com/spreadsheets/d/1rd4qoM1q_hsgaolqNGfrim9gbsoLxQsda4-vOz5x_BM/edit?usp=sharing"",""ภูเก็ต!I314"")+IMPORTRANGE(""https://docs.google.com/spreadsheets/d/1woKwKjgoL"&amp;"ssDvPcPeVyezB5izizAn4X1JDrys69n6xI/edit?usp=sharing"",""ยะลา!I314"")+IMPORTRANGE(""https://docs.google.com/spreadsheets/d/1qfrKjzMhm2HJfxQ-qVlJlJQ25Hne1d0khsySbZyGtPA/edit?usp=sharing"",""ระนอง!I314"")+IMPORTRANGE(""https://docs.google.com/spreadsheets/d/"&amp;"1IbSCnFOKpZsnFogBHJnL_isstZVaOMnFiIN0fGTPZZw/edit?usp=sharing"",""สงขลา!I314"")+IMPORTRANGE(""https://docs.google.com/spreadsheets/d/1q9nWasZJ-K8bFGvbE9n0qSRuKGA4Toe3Y89cKCiVtCU/edit?usp=sharing"",""สตูล!I314"")+IMPORTRANGE(""https://docs.google.com/sprea"&amp;"dsheets/d/18T20gbkS_WBjdscyTOV05cvq_JqvqQ17C81mpxf7Ncs/edit?usp=sharing"",""สุราษฎร์ธานี!I314"")"),35)</f>
        <v>35</v>
      </c>
      <c r="J314" s="194">
        <f ca="1">IFERROR(__xludf.DUMMYFUNCTION("IMPORTRANGE(""https://docs.google.com/spreadsheets/d/1kKUcYdkIfrgTSj8iHHHB2MD2FAtwyyocFgqGQn6ADyI/edit?usp=sharing"",""กระบี่!J314"")+IMPORTRANGE(""https://docs.google.com/spreadsheets/d/1GwtLaSlNZkLk7iDqcyZz22giiy40b_usZZBXYciEN1U/edit?usp=sharing"",""ชุ"&amp;"มพร!J314"")+IMPORTRANGE(""https://docs.google.com/spreadsheets/d/16pAz3pOhQEZBhvFNMa5KGgZS6iKWpsKX0pg6tQmwFpo/edit?usp=sharing"",""ตรัง!J314"")+IMPORTRANGE(""https://docs.google.com/spreadsheets/d/1Dj4jcHCTV9JXKCaMoheSXS52JE63kDKyG7bPXnFogHk/edit?usp=shar"&amp;"ing"",""นครศรีธรรมราช!J314"")+IMPORTRANGE(""https://docs.google.com/spreadsheets/d/1iodCdmuK2GR3jzUwk8tpccY2JHQQA-87DLOtJP-ooyU/edit?usp=sharing"",""นราธิวาส!J314"")+IMPORTRANGE(""https://docs.google.com/spreadsheets/d/1SDNX3JhDdYRuIOsj0Wh2M-Qa_eaXl0NbWmh"&amp;"AOTbfQAs/edit?usp=sharing"",""ปัตตานี!J314"")+IMPORTRANGE(""https://docs.google.com/spreadsheets/d/16JDLGguT8s5DsGCND1KcwHP_AWR_zDMTqLHPLJUKhaU/edit?usp=sharing"",""พังงา!J314"")+IMPORTRANGE(""https://docs.google.com/spreadsheets/d/17ht0gPKzzT3PObBL1XJkeR"&amp;"mntBXI7wGjpLV7QorqlTk/edit?usp=sharing"",""พัทลุง!J314"")+IMPORTRANGE(""https://docs.google.com/spreadsheets/d/1rd4qoM1q_hsgaolqNGfrim9gbsoLxQsda4-vOz5x_BM/edit?usp=sharing"",""ภูเก็ต!J314"")+IMPORTRANGE(""https://docs.google.com/spreadsheets/d/1woKwKjgoL"&amp;"ssDvPcPeVyezB5izizAn4X1JDrys69n6xI/edit?usp=sharing"",""ยะลา!J314"")+IMPORTRANGE(""https://docs.google.com/spreadsheets/d/1qfrKjzMhm2HJfxQ-qVlJlJQ25Hne1d0khsySbZyGtPA/edit?usp=sharing"",""ระนอง!J314"")+IMPORTRANGE(""https://docs.google.com/spreadsheets/d/"&amp;"1IbSCnFOKpZsnFogBHJnL_isstZVaOMnFiIN0fGTPZZw/edit?usp=sharing"",""สงขลา!J314"")+IMPORTRANGE(""https://docs.google.com/spreadsheets/d/1q9nWasZJ-K8bFGvbE9n0qSRuKGA4Toe3Y89cKCiVtCU/edit?usp=sharing"",""สตูล!J314"")+IMPORTRANGE(""https://docs.google.com/sprea"&amp;"dsheets/d/18T20gbkS_WBjdscyTOV05cvq_JqvqQ17C81mpxf7Ncs/edit?usp=sharing"",""สุราษฎร์ธานี!J314"")"),0)</f>
        <v>0</v>
      </c>
      <c r="K314" s="59">
        <f t="shared" ref="K314:K317" ca="1" si="135">IF(I314&gt;0,J314*100/I314,0)</f>
        <v>0</v>
      </c>
      <c r="L314" s="58"/>
      <c r="M314" s="58"/>
      <c r="N314" s="58"/>
      <c r="O314" s="58"/>
      <c r="P314" s="58"/>
    </row>
    <row r="315" spans="1:16" ht="18.75" x14ac:dyDescent="0.25">
      <c r="A315" s="167"/>
      <c r="B315" s="168"/>
      <c r="C315" s="168"/>
      <c r="D315" s="178" t="s">
        <v>122</v>
      </c>
      <c r="E315" s="174"/>
      <c r="F315" s="174"/>
      <c r="G315" s="172"/>
      <c r="H315" s="179" t="s">
        <v>33</v>
      </c>
      <c r="I315" s="194">
        <f ca="1">IFERROR(__xludf.DUMMYFUNCTION("IMPORTRANGE(""https://docs.google.com/spreadsheets/d/1kKUcYdkIfrgTSj8iHHHB2MD2FAtwyyocFgqGQn6ADyI/edit?usp=sharing"",""กระบี่!I315"")+IMPORTRANGE(""https://docs.google.com/spreadsheets/d/1GwtLaSlNZkLk7iDqcyZz22giiy40b_usZZBXYciEN1U/edit?usp=sharing"",""ชุ"&amp;"มพร!I315"")+IMPORTRANGE(""https://docs.google.com/spreadsheets/d/16pAz3pOhQEZBhvFNMa5KGgZS6iKWpsKX0pg6tQmwFpo/edit?usp=sharing"",""ตรัง!I315"")+IMPORTRANGE(""https://docs.google.com/spreadsheets/d/1Dj4jcHCTV9JXKCaMoheSXS52JE63kDKyG7bPXnFogHk/edit?usp=shar"&amp;"ing"",""นครศรีธรรมราช!I315"")+IMPORTRANGE(""https://docs.google.com/spreadsheets/d/1iodCdmuK2GR3jzUwk8tpccY2JHQQA-87DLOtJP-ooyU/edit?usp=sharing"",""นราธิวาส!I315"")+IMPORTRANGE(""https://docs.google.com/spreadsheets/d/1SDNX3JhDdYRuIOsj0Wh2M-Qa_eaXl0NbWmh"&amp;"AOTbfQAs/edit?usp=sharing"",""ปัตตานี!I315"")+IMPORTRANGE(""https://docs.google.com/spreadsheets/d/16JDLGguT8s5DsGCND1KcwHP_AWR_zDMTqLHPLJUKhaU/edit?usp=sharing"",""พังงา!I315"")+IMPORTRANGE(""https://docs.google.com/spreadsheets/d/17ht0gPKzzT3PObBL1XJkeR"&amp;"mntBXI7wGjpLV7QorqlTk/edit?usp=sharing"",""พัทลุง!I315"")+IMPORTRANGE(""https://docs.google.com/spreadsheets/d/1rd4qoM1q_hsgaolqNGfrim9gbsoLxQsda4-vOz5x_BM/edit?usp=sharing"",""ภูเก็ต!I315"")+IMPORTRANGE(""https://docs.google.com/spreadsheets/d/1woKwKjgoL"&amp;"ssDvPcPeVyezB5izizAn4X1JDrys69n6xI/edit?usp=sharing"",""ยะลา!I315"")+IMPORTRANGE(""https://docs.google.com/spreadsheets/d/1qfrKjzMhm2HJfxQ-qVlJlJQ25Hne1d0khsySbZyGtPA/edit?usp=sharing"",""ระนอง!I315"")+IMPORTRANGE(""https://docs.google.com/spreadsheets/d/"&amp;"1IbSCnFOKpZsnFogBHJnL_isstZVaOMnFiIN0fGTPZZw/edit?usp=sharing"",""สงขลา!I315"")+IMPORTRANGE(""https://docs.google.com/spreadsheets/d/1q9nWasZJ-K8bFGvbE9n0qSRuKGA4Toe3Y89cKCiVtCU/edit?usp=sharing"",""สตูล!I315"")+IMPORTRANGE(""https://docs.google.com/sprea"&amp;"dsheets/d/18T20gbkS_WBjdscyTOV05cvq_JqvqQ17C81mpxf7Ncs/edit?usp=sharing"",""สุราษฎร์ธานี!I315"")"),7)</f>
        <v>7</v>
      </c>
      <c r="J315" s="194">
        <f ca="1">IFERROR(__xludf.DUMMYFUNCTION("IMPORTRANGE(""https://docs.google.com/spreadsheets/d/1kKUcYdkIfrgTSj8iHHHB2MD2FAtwyyocFgqGQn6ADyI/edit?usp=sharing"",""กระบี่!J315"")+IMPORTRANGE(""https://docs.google.com/spreadsheets/d/1GwtLaSlNZkLk7iDqcyZz22giiy40b_usZZBXYciEN1U/edit?usp=sharing"",""ชุ"&amp;"มพร!J315"")+IMPORTRANGE(""https://docs.google.com/spreadsheets/d/16pAz3pOhQEZBhvFNMa5KGgZS6iKWpsKX0pg6tQmwFpo/edit?usp=sharing"",""ตรัง!J315"")+IMPORTRANGE(""https://docs.google.com/spreadsheets/d/1Dj4jcHCTV9JXKCaMoheSXS52JE63kDKyG7bPXnFogHk/edit?usp=shar"&amp;"ing"",""นครศรีธรรมราช!J315"")+IMPORTRANGE(""https://docs.google.com/spreadsheets/d/1iodCdmuK2GR3jzUwk8tpccY2JHQQA-87DLOtJP-ooyU/edit?usp=sharing"",""นราธิวาส!J315"")+IMPORTRANGE(""https://docs.google.com/spreadsheets/d/1SDNX3JhDdYRuIOsj0Wh2M-Qa_eaXl0NbWmh"&amp;"AOTbfQAs/edit?usp=sharing"",""ปัตตานี!J315"")+IMPORTRANGE(""https://docs.google.com/spreadsheets/d/16JDLGguT8s5DsGCND1KcwHP_AWR_zDMTqLHPLJUKhaU/edit?usp=sharing"",""พังงา!J315"")+IMPORTRANGE(""https://docs.google.com/spreadsheets/d/17ht0gPKzzT3PObBL1XJkeR"&amp;"mntBXI7wGjpLV7QorqlTk/edit?usp=sharing"",""พัทลุง!J315"")+IMPORTRANGE(""https://docs.google.com/spreadsheets/d/1rd4qoM1q_hsgaolqNGfrim9gbsoLxQsda4-vOz5x_BM/edit?usp=sharing"",""ภูเก็ต!J315"")+IMPORTRANGE(""https://docs.google.com/spreadsheets/d/1woKwKjgoL"&amp;"ssDvPcPeVyezB5izizAn4X1JDrys69n6xI/edit?usp=sharing"",""ยะลา!J315"")+IMPORTRANGE(""https://docs.google.com/spreadsheets/d/1qfrKjzMhm2HJfxQ-qVlJlJQ25Hne1d0khsySbZyGtPA/edit?usp=sharing"",""ระนอง!J315"")+IMPORTRANGE(""https://docs.google.com/spreadsheets/d/"&amp;"1IbSCnFOKpZsnFogBHJnL_isstZVaOMnFiIN0fGTPZZw/edit?usp=sharing"",""สงขลา!J315"")+IMPORTRANGE(""https://docs.google.com/spreadsheets/d/1q9nWasZJ-K8bFGvbE9n0qSRuKGA4Toe3Y89cKCiVtCU/edit?usp=sharing"",""สตูล!J315"")+IMPORTRANGE(""https://docs.google.com/sprea"&amp;"dsheets/d/18T20gbkS_WBjdscyTOV05cvq_JqvqQ17C81mpxf7Ncs/edit?usp=sharing"",""สุราษฎร์ธานี!J315"")"),0)</f>
        <v>0</v>
      </c>
      <c r="K315" s="59">
        <f t="shared" ca="1" si="135"/>
        <v>0</v>
      </c>
      <c r="L315" s="58"/>
      <c r="M315" s="58"/>
      <c r="N315" s="58"/>
      <c r="O315" s="58"/>
      <c r="P315" s="58"/>
    </row>
    <row r="316" spans="1:16" ht="18.75" x14ac:dyDescent="0.25">
      <c r="A316" s="167"/>
      <c r="B316" s="168"/>
      <c r="C316" s="168"/>
      <c r="D316" s="193" t="s">
        <v>48</v>
      </c>
      <c r="E316" s="174"/>
      <c r="F316" s="174"/>
      <c r="G316" s="172"/>
      <c r="H316" s="179" t="s">
        <v>33</v>
      </c>
      <c r="I316" s="194">
        <f ca="1">IFERROR(__xludf.DUMMYFUNCTION("IMPORTRANGE(""https://docs.google.com/spreadsheets/d/1kKUcYdkIfrgTSj8iHHHB2MD2FAtwyyocFgqGQn6ADyI/edit?usp=sharing"",""กระบี่!I316"")+IMPORTRANGE(""https://docs.google.com/spreadsheets/d/1GwtLaSlNZkLk7iDqcyZz22giiy40b_usZZBXYciEN1U/edit?usp=sharing"",""ชุ"&amp;"มพร!I316"")+IMPORTRANGE(""https://docs.google.com/spreadsheets/d/16pAz3pOhQEZBhvFNMa5KGgZS6iKWpsKX0pg6tQmwFpo/edit?usp=sharing"",""ตรัง!I316"")+IMPORTRANGE(""https://docs.google.com/spreadsheets/d/1Dj4jcHCTV9JXKCaMoheSXS52JE63kDKyG7bPXnFogHk/edit?usp=shar"&amp;"ing"",""นครศรีธรรมราช!I316"")+IMPORTRANGE(""https://docs.google.com/spreadsheets/d/1iodCdmuK2GR3jzUwk8tpccY2JHQQA-87DLOtJP-ooyU/edit?usp=sharing"",""นราธิวาส!I316"")+IMPORTRANGE(""https://docs.google.com/spreadsheets/d/1SDNX3JhDdYRuIOsj0Wh2M-Qa_eaXl0NbWmh"&amp;"AOTbfQAs/edit?usp=sharing"",""ปัตตานี!I316"")+IMPORTRANGE(""https://docs.google.com/spreadsheets/d/16JDLGguT8s5DsGCND1KcwHP_AWR_zDMTqLHPLJUKhaU/edit?usp=sharing"",""พังงา!I316"")+IMPORTRANGE(""https://docs.google.com/spreadsheets/d/17ht0gPKzzT3PObBL1XJkeR"&amp;"mntBXI7wGjpLV7QorqlTk/edit?usp=sharing"",""พัทลุง!I316"")+IMPORTRANGE(""https://docs.google.com/spreadsheets/d/1rd4qoM1q_hsgaolqNGfrim9gbsoLxQsda4-vOz5x_BM/edit?usp=sharing"",""ภูเก็ต!I316"")+IMPORTRANGE(""https://docs.google.com/spreadsheets/d/1woKwKjgoL"&amp;"ssDvPcPeVyezB5izizAn4X1JDrys69n6xI/edit?usp=sharing"",""ยะลา!I316"")+IMPORTRANGE(""https://docs.google.com/spreadsheets/d/1qfrKjzMhm2HJfxQ-qVlJlJQ25Hne1d0khsySbZyGtPA/edit?usp=sharing"",""ระนอง!I316"")+IMPORTRANGE(""https://docs.google.com/spreadsheets/d/"&amp;"1IbSCnFOKpZsnFogBHJnL_isstZVaOMnFiIN0fGTPZZw/edit?usp=sharing"",""สงขลา!I316"")+IMPORTRANGE(""https://docs.google.com/spreadsheets/d/1q9nWasZJ-K8bFGvbE9n0qSRuKGA4Toe3Y89cKCiVtCU/edit?usp=sharing"",""สตูล!I316"")+IMPORTRANGE(""https://docs.google.com/sprea"&amp;"dsheets/d/18T20gbkS_WBjdscyTOV05cvq_JqvqQ17C81mpxf7Ncs/edit?usp=sharing"",""สุราษฎร์ธานี!I316"")"),35)</f>
        <v>35</v>
      </c>
      <c r="J316" s="194">
        <f ca="1">IFERROR(__xludf.DUMMYFUNCTION("IMPORTRANGE(""https://docs.google.com/spreadsheets/d/1kKUcYdkIfrgTSj8iHHHB2MD2FAtwyyocFgqGQn6ADyI/edit?usp=sharing"",""กระบี่!J316"")+IMPORTRANGE(""https://docs.google.com/spreadsheets/d/1GwtLaSlNZkLk7iDqcyZz22giiy40b_usZZBXYciEN1U/edit?usp=sharing"",""ชุ"&amp;"มพร!J316"")+IMPORTRANGE(""https://docs.google.com/spreadsheets/d/16pAz3pOhQEZBhvFNMa5KGgZS6iKWpsKX0pg6tQmwFpo/edit?usp=sharing"",""ตรัง!J316"")+IMPORTRANGE(""https://docs.google.com/spreadsheets/d/1Dj4jcHCTV9JXKCaMoheSXS52JE63kDKyG7bPXnFogHk/edit?usp=shar"&amp;"ing"",""นครศรีธรรมราช!J316"")+IMPORTRANGE(""https://docs.google.com/spreadsheets/d/1iodCdmuK2GR3jzUwk8tpccY2JHQQA-87DLOtJP-ooyU/edit?usp=sharing"",""นราธิวาส!J316"")+IMPORTRANGE(""https://docs.google.com/spreadsheets/d/1SDNX3JhDdYRuIOsj0Wh2M-Qa_eaXl0NbWmh"&amp;"AOTbfQAs/edit?usp=sharing"",""ปัตตานี!J316"")+IMPORTRANGE(""https://docs.google.com/spreadsheets/d/16JDLGguT8s5DsGCND1KcwHP_AWR_zDMTqLHPLJUKhaU/edit?usp=sharing"",""พังงา!J316"")+IMPORTRANGE(""https://docs.google.com/spreadsheets/d/17ht0gPKzzT3PObBL1XJkeR"&amp;"mntBXI7wGjpLV7QorqlTk/edit?usp=sharing"",""พัทลุง!J316"")+IMPORTRANGE(""https://docs.google.com/spreadsheets/d/1rd4qoM1q_hsgaolqNGfrim9gbsoLxQsda4-vOz5x_BM/edit?usp=sharing"",""ภูเก็ต!J316"")+IMPORTRANGE(""https://docs.google.com/spreadsheets/d/1woKwKjgoL"&amp;"ssDvPcPeVyezB5izizAn4X1JDrys69n6xI/edit?usp=sharing"",""ยะลา!J316"")+IMPORTRANGE(""https://docs.google.com/spreadsheets/d/1qfrKjzMhm2HJfxQ-qVlJlJQ25Hne1d0khsySbZyGtPA/edit?usp=sharing"",""ระนอง!J316"")+IMPORTRANGE(""https://docs.google.com/spreadsheets/d/"&amp;"1IbSCnFOKpZsnFogBHJnL_isstZVaOMnFiIN0fGTPZZw/edit?usp=sharing"",""สงขลา!J316"")+IMPORTRANGE(""https://docs.google.com/spreadsheets/d/1q9nWasZJ-K8bFGvbE9n0qSRuKGA4Toe3Y89cKCiVtCU/edit?usp=sharing"",""สตูล!J316"")+IMPORTRANGE(""https://docs.google.com/sprea"&amp;"dsheets/d/18T20gbkS_WBjdscyTOV05cvq_JqvqQ17C81mpxf7Ncs/edit?usp=sharing"",""สุราษฎร์ธานี!J316"")"),0)</f>
        <v>0</v>
      </c>
      <c r="K316" s="59">
        <f t="shared" ca="1" si="135"/>
        <v>0</v>
      </c>
      <c r="L316" s="58"/>
      <c r="M316" s="58"/>
      <c r="N316" s="58"/>
      <c r="O316" s="58"/>
      <c r="P316" s="58"/>
    </row>
    <row r="317" spans="1:16" ht="18.75" x14ac:dyDescent="0.25">
      <c r="A317" s="274"/>
      <c r="B317" s="278"/>
      <c r="C317" s="278"/>
      <c r="D317" s="60" t="s">
        <v>123</v>
      </c>
      <c r="E317" s="53"/>
      <c r="F317" s="53"/>
      <c r="G317" s="55"/>
      <c r="H317" s="56" t="s">
        <v>33</v>
      </c>
      <c r="I317" s="194">
        <f ca="1">IFERROR(__xludf.DUMMYFUNCTION("IMPORTRANGE(""https://docs.google.com/spreadsheets/d/1kKUcYdkIfrgTSj8iHHHB2MD2FAtwyyocFgqGQn6ADyI/edit?usp=sharing"",""กระบี่!I317"")+IMPORTRANGE(""https://docs.google.com/spreadsheets/d/1GwtLaSlNZkLk7iDqcyZz22giiy40b_usZZBXYciEN1U/edit?usp=sharing"",""ชุ"&amp;"มพร!I317"")+IMPORTRANGE(""https://docs.google.com/spreadsheets/d/16pAz3pOhQEZBhvFNMa5KGgZS6iKWpsKX0pg6tQmwFpo/edit?usp=sharing"",""ตรัง!I317"")+IMPORTRANGE(""https://docs.google.com/spreadsheets/d/1Dj4jcHCTV9JXKCaMoheSXS52JE63kDKyG7bPXnFogHk/edit?usp=shar"&amp;"ing"",""นครศรีธรรมราช!I317"")+IMPORTRANGE(""https://docs.google.com/spreadsheets/d/1iodCdmuK2GR3jzUwk8tpccY2JHQQA-87DLOtJP-ooyU/edit?usp=sharing"",""นราธิวาส!I317"")+IMPORTRANGE(""https://docs.google.com/spreadsheets/d/1SDNX3JhDdYRuIOsj0Wh2M-Qa_eaXl0NbWmh"&amp;"AOTbfQAs/edit?usp=sharing"",""ปัตตานี!I317"")+IMPORTRANGE(""https://docs.google.com/spreadsheets/d/16JDLGguT8s5DsGCND1KcwHP_AWR_zDMTqLHPLJUKhaU/edit?usp=sharing"",""พังงา!I317"")+IMPORTRANGE(""https://docs.google.com/spreadsheets/d/17ht0gPKzzT3PObBL1XJkeR"&amp;"mntBXI7wGjpLV7QorqlTk/edit?usp=sharing"",""พัทลุง!I317"")+IMPORTRANGE(""https://docs.google.com/spreadsheets/d/1rd4qoM1q_hsgaolqNGfrim9gbsoLxQsda4-vOz5x_BM/edit?usp=sharing"",""ภูเก็ต!I317"")+IMPORTRANGE(""https://docs.google.com/spreadsheets/d/1woKwKjgoL"&amp;"ssDvPcPeVyezB5izizAn4X1JDrys69n6xI/edit?usp=sharing"",""ยะลา!I317"")+IMPORTRANGE(""https://docs.google.com/spreadsheets/d/1qfrKjzMhm2HJfxQ-qVlJlJQ25Hne1d0khsySbZyGtPA/edit?usp=sharing"",""ระนอง!I317"")+IMPORTRANGE(""https://docs.google.com/spreadsheets/d/"&amp;"1IbSCnFOKpZsnFogBHJnL_isstZVaOMnFiIN0fGTPZZw/edit?usp=sharing"",""สงขลา!I317"")+IMPORTRANGE(""https://docs.google.com/spreadsheets/d/1q9nWasZJ-K8bFGvbE9n0qSRuKGA4Toe3Y89cKCiVtCU/edit?usp=sharing"",""สตูล!I317"")+IMPORTRANGE(""https://docs.google.com/sprea"&amp;"dsheets/d/18T20gbkS_WBjdscyTOV05cvq_JqvqQ17C81mpxf7Ncs/edit?usp=sharing"",""สุราษฎร์ธานี!I317"")"),7)</f>
        <v>7</v>
      </c>
      <c r="J317" s="194">
        <f ca="1">IFERROR(__xludf.DUMMYFUNCTION("IMPORTRANGE(""https://docs.google.com/spreadsheets/d/1kKUcYdkIfrgTSj8iHHHB2MD2FAtwyyocFgqGQn6ADyI/edit?usp=sharing"",""กระบี่!J317"")+IMPORTRANGE(""https://docs.google.com/spreadsheets/d/1GwtLaSlNZkLk7iDqcyZz22giiy40b_usZZBXYciEN1U/edit?usp=sharing"",""ชุ"&amp;"มพร!J317"")+IMPORTRANGE(""https://docs.google.com/spreadsheets/d/16pAz3pOhQEZBhvFNMa5KGgZS6iKWpsKX0pg6tQmwFpo/edit?usp=sharing"",""ตรัง!J317"")+IMPORTRANGE(""https://docs.google.com/spreadsheets/d/1Dj4jcHCTV9JXKCaMoheSXS52JE63kDKyG7bPXnFogHk/edit?usp=shar"&amp;"ing"",""นครศรีธรรมราช!J317"")+IMPORTRANGE(""https://docs.google.com/spreadsheets/d/1iodCdmuK2GR3jzUwk8tpccY2JHQQA-87DLOtJP-ooyU/edit?usp=sharing"",""นราธิวาส!J317"")+IMPORTRANGE(""https://docs.google.com/spreadsheets/d/1SDNX3JhDdYRuIOsj0Wh2M-Qa_eaXl0NbWmh"&amp;"AOTbfQAs/edit?usp=sharing"",""ปัตตานี!J317"")+IMPORTRANGE(""https://docs.google.com/spreadsheets/d/16JDLGguT8s5DsGCND1KcwHP_AWR_zDMTqLHPLJUKhaU/edit?usp=sharing"",""พังงา!J317"")+IMPORTRANGE(""https://docs.google.com/spreadsheets/d/17ht0gPKzzT3PObBL1XJkeR"&amp;"mntBXI7wGjpLV7QorqlTk/edit?usp=sharing"",""พัทลุง!J317"")+IMPORTRANGE(""https://docs.google.com/spreadsheets/d/1rd4qoM1q_hsgaolqNGfrim9gbsoLxQsda4-vOz5x_BM/edit?usp=sharing"",""ภูเก็ต!J317"")+IMPORTRANGE(""https://docs.google.com/spreadsheets/d/1woKwKjgoL"&amp;"ssDvPcPeVyezB5izizAn4X1JDrys69n6xI/edit?usp=sharing"",""ยะลา!J317"")+IMPORTRANGE(""https://docs.google.com/spreadsheets/d/1qfrKjzMhm2HJfxQ-qVlJlJQ25Hne1d0khsySbZyGtPA/edit?usp=sharing"",""ระนอง!J317"")+IMPORTRANGE(""https://docs.google.com/spreadsheets/d/"&amp;"1IbSCnFOKpZsnFogBHJnL_isstZVaOMnFiIN0fGTPZZw/edit?usp=sharing"",""สงขลา!J317"")+IMPORTRANGE(""https://docs.google.com/spreadsheets/d/1q9nWasZJ-K8bFGvbE9n0qSRuKGA4Toe3Y89cKCiVtCU/edit?usp=sharing"",""สตูล!J317"")+IMPORTRANGE(""https://docs.google.com/sprea"&amp;"dsheets/d/18T20gbkS_WBjdscyTOV05cvq_JqvqQ17C81mpxf7Ncs/edit?usp=sharing"",""สุราษฎร์ธานี!J317"")"),0)</f>
        <v>0</v>
      </c>
      <c r="K317" s="59">
        <f t="shared" ca="1" si="135"/>
        <v>0</v>
      </c>
      <c r="L317" s="58"/>
      <c r="M317" s="58"/>
      <c r="N317" s="58"/>
      <c r="O317" s="58"/>
      <c r="P317" s="58"/>
    </row>
    <row r="318" spans="1:16" ht="19.5" x14ac:dyDescent="0.3">
      <c r="A318" s="384" t="s">
        <v>124</v>
      </c>
      <c r="B318" s="385"/>
      <c r="C318" s="385"/>
      <c r="D318" s="386"/>
      <c r="E318" s="385"/>
      <c r="F318" s="385"/>
      <c r="G318" s="385"/>
      <c r="H318" s="386"/>
      <c r="I318" s="388"/>
      <c r="J318" s="388"/>
      <c r="K318" s="389"/>
      <c r="L318" s="389"/>
      <c r="M318" s="389"/>
      <c r="N318" s="389"/>
      <c r="O318" s="389"/>
      <c r="P318" s="389"/>
    </row>
    <row r="319" spans="1:16" ht="19.5" x14ac:dyDescent="0.3">
      <c r="A319" s="398"/>
      <c r="B319" s="391" t="s">
        <v>125</v>
      </c>
      <c r="C319" s="399"/>
      <c r="D319" s="400"/>
      <c r="E319" s="392"/>
      <c r="F319" s="392"/>
      <c r="G319" s="393"/>
      <c r="H319" s="394" t="s">
        <v>126</v>
      </c>
      <c r="I319" s="395">
        <f t="shared" ref="I319:J319" ca="1" si="136">I330</f>
        <v>4</v>
      </c>
      <c r="J319" s="395">
        <f t="shared" ca="1" si="136"/>
        <v>0</v>
      </c>
      <c r="K319" s="396">
        <f ca="1">IF(I319&gt;0,J319*100/I319,0)</f>
        <v>0</v>
      </c>
      <c r="L319" s="397"/>
      <c r="M319" s="397"/>
      <c r="N319" s="397"/>
      <c r="O319" s="397"/>
      <c r="P319" s="397"/>
    </row>
    <row r="320" spans="1:16" ht="19.5" x14ac:dyDescent="0.3">
      <c r="A320" s="157"/>
      <c r="B320" s="53"/>
      <c r="C320" s="158" t="s">
        <v>16</v>
      </c>
      <c r="D320" s="159" t="s">
        <v>17</v>
      </c>
      <c r="E320" s="53"/>
      <c r="F320" s="53"/>
      <c r="G320" s="55"/>
      <c r="H320" s="160" t="s">
        <v>12</v>
      </c>
      <c r="I320" s="57"/>
      <c r="J320" s="57"/>
      <c r="K320" s="58"/>
      <c r="L320" s="161">
        <f t="shared" ref="L320:N320" ca="1" si="137">L321+L322</f>
        <v>90000</v>
      </c>
      <c r="M320" s="161">
        <f t="shared" ca="1" si="137"/>
        <v>150000</v>
      </c>
      <c r="N320" s="161">
        <f t="shared" ca="1" si="137"/>
        <v>92924.1</v>
      </c>
      <c r="O320" s="161">
        <f t="shared" ref="O320:O328" ca="1" si="138">IF(L320&gt;0,N320*100/L320,0)</f>
        <v>103.249</v>
      </c>
      <c r="P320" s="161">
        <f t="shared" ref="P320:P328" ca="1" si="139">IF(M320&gt;0,N320*100/M320,0)</f>
        <v>61.949399999999997</v>
      </c>
    </row>
    <row r="321" spans="1:16" ht="18.75" x14ac:dyDescent="0.25">
      <c r="A321" s="157"/>
      <c r="B321" s="53"/>
      <c r="C321" s="53"/>
      <c r="D321" s="53"/>
      <c r="E321" s="60" t="s">
        <v>18</v>
      </c>
      <c r="F321" s="53"/>
      <c r="G321" s="55"/>
      <c r="H321" s="162" t="s">
        <v>12</v>
      </c>
      <c r="I321" s="57"/>
      <c r="J321" s="57"/>
      <c r="K321" s="58"/>
      <c r="L321" s="59">
        <f t="shared" ref="L321:N321" ca="1" si="140">L324+L327</f>
        <v>0</v>
      </c>
      <c r="M321" s="59">
        <f t="shared" ca="1" si="140"/>
        <v>0</v>
      </c>
      <c r="N321" s="59">
        <f t="shared" ca="1" si="140"/>
        <v>0</v>
      </c>
      <c r="O321" s="59">
        <f t="shared" ca="1" si="138"/>
        <v>0</v>
      </c>
      <c r="P321" s="59">
        <f t="shared" ca="1" si="139"/>
        <v>0</v>
      </c>
    </row>
    <row r="322" spans="1:16" ht="18.75" x14ac:dyDescent="0.25">
      <c r="A322" s="157"/>
      <c r="B322" s="53"/>
      <c r="C322" s="53"/>
      <c r="D322" s="53"/>
      <c r="E322" s="60" t="s">
        <v>19</v>
      </c>
      <c r="F322" s="53"/>
      <c r="G322" s="55"/>
      <c r="H322" s="162" t="s">
        <v>12</v>
      </c>
      <c r="I322" s="57"/>
      <c r="J322" s="57"/>
      <c r="K322" s="58"/>
      <c r="L322" s="59">
        <f t="shared" ref="L322:N322" ca="1" si="141">L325+L328</f>
        <v>90000</v>
      </c>
      <c r="M322" s="59">
        <f t="shared" ca="1" si="141"/>
        <v>150000</v>
      </c>
      <c r="N322" s="59">
        <f t="shared" ca="1" si="141"/>
        <v>92924.1</v>
      </c>
      <c r="O322" s="59">
        <f t="shared" ca="1" si="138"/>
        <v>103.249</v>
      </c>
      <c r="P322" s="59">
        <f t="shared" ca="1" si="139"/>
        <v>61.949399999999997</v>
      </c>
    </row>
    <row r="323" spans="1:16" ht="18.75" x14ac:dyDescent="0.25">
      <c r="A323" s="157"/>
      <c r="B323" s="53"/>
      <c r="C323" s="53"/>
      <c r="D323" s="54" t="s">
        <v>20</v>
      </c>
      <c r="E323" s="53"/>
      <c r="F323" s="53"/>
      <c r="G323" s="55"/>
      <c r="H323" s="163" t="s">
        <v>12</v>
      </c>
      <c r="I323" s="164"/>
      <c r="J323" s="164"/>
      <c r="K323" s="165"/>
      <c r="L323" s="59">
        <f t="shared" ref="L323:N323" ca="1" si="142">L324+L325</f>
        <v>90000</v>
      </c>
      <c r="M323" s="59">
        <f t="shared" ca="1" si="142"/>
        <v>150000</v>
      </c>
      <c r="N323" s="59">
        <f t="shared" ca="1" si="142"/>
        <v>92924.1</v>
      </c>
      <c r="O323" s="59">
        <f t="shared" ca="1" si="138"/>
        <v>103.249</v>
      </c>
      <c r="P323" s="59">
        <f t="shared" ca="1" si="139"/>
        <v>61.949399999999997</v>
      </c>
    </row>
    <row r="324" spans="1:16" ht="18.75" x14ac:dyDescent="0.25">
      <c r="A324" s="157"/>
      <c r="B324" s="53"/>
      <c r="C324" s="53"/>
      <c r="D324" s="53"/>
      <c r="E324" s="60" t="s">
        <v>34</v>
      </c>
      <c r="F324" s="53"/>
      <c r="G324" s="55"/>
      <c r="H324" s="163" t="s">
        <v>12</v>
      </c>
      <c r="I324" s="164"/>
      <c r="J324" s="164"/>
      <c r="K324" s="165"/>
      <c r="L324" s="59">
        <f ca="1">IFERROR(__xludf.DUMMYFUNCTION("IMPORTRANGE(""https://docs.google.com/spreadsheets/d/1kKUcYdkIfrgTSj8iHHHB2MD2FAtwyyocFgqGQn6ADyI/edit?usp=sharing"",""กระบี่!L324"")+IMPORTRANGE(""https://docs.google.com/spreadsheets/d/1GwtLaSlNZkLk7iDqcyZz22giiy40b_usZZBXYciEN1U/edit?usp=sharing"",""ชุ"&amp;"มพร!L324"")+IMPORTRANGE(""https://docs.google.com/spreadsheets/d/16pAz3pOhQEZBhvFNMa5KGgZS6iKWpsKX0pg6tQmwFpo/edit?usp=sharing"",""ตรัง!L324"")+IMPORTRANGE(""https://docs.google.com/spreadsheets/d/1Dj4jcHCTV9JXKCaMoheSXS52JE63kDKyG7bPXnFogHk/edit?usp=shar"&amp;"ing"",""นครศรีธรรมราช!L324"")+IMPORTRANGE(""https://docs.google.com/spreadsheets/d/1iodCdmuK2GR3jzUwk8tpccY2JHQQA-87DLOtJP-ooyU/edit?usp=sharing"",""นราธิวาส!L324"")+IMPORTRANGE(""https://docs.google.com/spreadsheets/d/1SDNX3JhDdYRuIOsj0Wh2M-Qa_eaXl0NbWmh"&amp;"AOTbfQAs/edit?usp=sharing"",""ปัตตานี!L324"")+IMPORTRANGE(""https://docs.google.com/spreadsheets/d/16JDLGguT8s5DsGCND1KcwHP_AWR_zDMTqLHPLJUKhaU/edit?usp=sharing"",""พังงา!L324"")+IMPORTRANGE(""https://docs.google.com/spreadsheets/d/17ht0gPKzzT3PObBL1XJkeR"&amp;"mntBXI7wGjpLV7QorqlTk/edit?usp=sharing"",""พัทลุง!L324"")+IMPORTRANGE(""https://docs.google.com/spreadsheets/d/1rd4qoM1q_hsgaolqNGfrim9gbsoLxQsda4-vOz5x_BM/edit?usp=sharing"",""ภูเก็ต!L324"")+IMPORTRANGE(""https://docs.google.com/spreadsheets/d/1woKwKjgoL"&amp;"ssDvPcPeVyezB5izizAn4X1JDrys69n6xI/edit?usp=sharing"",""ยะลา!L324"")+IMPORTRANGE(""https://docs.google.com/spreadsheets/d/1qfrKjzMhm2HJfxQ-qVlJlJQ25Hne1d0khsySbZyGtPA/edit?usp=sharing"",""ระนอง!L324"")+IMPORTRANGE(""https://docs.google.com/spreadsheets/d/"&amp;"1IbSCnFOKpZsnFogBHJnL_isstZVaOMnFiIN0fGTPZZw/edit?usp=sharing"",""สงขลา!L324"")+IMPORTRANGE(""https://docs.google.com/spreadsheets/d/1q9nWasZJ-K8bFGvbE9n0qSRuKGA4Toe3Y89cKCiVtCU/edit?usp=sharing"",""สตูล!L324"")+IMPORTRANGE(""https://docs.google.com/sprea"&amp;"dsheets/d/18T20gbkS_WBjdscyTOV05cvq_JqvqQ17C81mpxf7Ncs/edit?usp=sharing"",""สุราษฎร์ธานี!L324"")"),0)</f>
        <v>0</v>
      </c>
      <c r="M324" s="59">
        <f ca="1">IFERROR(__xludf.DUMMYFUNCTION("IMPORTRANGE(""https://docs.google.com/spreadsheets/d/1kKUcYdkIfrgTSj8iHHHB2MD2FAtwyyocFgqGQn6ADyI/edit?usp=sharing"",""กระบี่!M324"")+IMPORTRANGE(""https://docs.google.com/spreadsheets/d/1GwtLaSlNZkLk7iDqcyZz22giiy40b_usZZBXYciEN1U/edit?usp=sharing"",""ชุ"&amp;"มพร!M324"")+IMPORTRANGE(""https://docs.google.com/spreadsheets/d/16pAz3pOhQEZBhvFNMa5KGgZS6iKWpsKX0pg6tQmwFpo/edit?usp=sharing"",""ตรัง!M324"")+IMPORTRANGE(""https://docs.google.com/spreadsheets/d/1Dj4jcHCTV9JXKCaMoheSXS52JE63kDKyG7bPXnFogHk/edit?usp=shar"&amp;"ing"",""นครศรีธรรมราช!M324"")+IMPORTRANGE(""https://docs.google.com/spreadsheets/d/1iodCdmuK2GR3jzUwk8tpccY2JHQQA-87DLOtJP-ooyU/edit?usp=sharing"",""นราธิวาส!M324"")+IMPORTRANGE(""https://docs.google.com/spreadsheets/d/1SDNX3JhDdYRuIOsj0Wh2M-Qa_eaXl0NbWmh"&amp;"AOTbfQAs/edit?usp=sharing"",""ปัตตานี!M324"")+IMPORTRANGE(""https://docs.google.com/spreadsheets/d/16JDLGguT8s5DsGCND1KcwHP_AWR_zDMTqLHPLJUKhaU/edit?usp=sharing"",""พังงา!M324"")+IMPORTRANGE(""https://docs.google.com/spreadsheets/d/17ht0gPKzzT3PObBL1XJkeR"&amp;"mntBXI7wGjpLV7QorqlTk/edit?usp=sharing"",""พัทลุง!M324"")+IMPORTRANGE(""https://docs.google.com/spreadsheets/d/1rd4qoM1q_hsgaolqNGfrim9gbsoLxQsda4-vOz5x_BM/edit?usp=sharing"",""ภูเก็ต!M324"")+IMPORTRANGE(""https://docs.google.com/spreadsheets/d/1woKwKjgoL"&amp;"ssDvPcPeVyezB5izizAn4X1JDrys69n6xI/edit?usp=sharing"",""ยะลา!M324"")+IMPORTRANGE(""https://docs.google.com/spreadsheets/d/1qfrKjzMhm2HJfxQ-qVlJlJQ25Hne1d0khsySbZyGtPA/edit?usp=sharing"",""ระนอง!M324"")+IMPORTRANGE(""https://docs.google.com/spreadsheets/d/"&amp;"1IbSCnFOKpZsnFogBHJnL_isstZVaOMnFiIN0fGTPZZw/edit?usp=sharing"",""สงขลา!M324"")+IMPORTRANGE(""https://docs.google.com/spreadsheets/d/1q9nWasZJ-K8bFGvbE9n0qSRuKGA4Toe3Y89cKCiVtCU/edit?usp=sharing"",""สตูล!M324"")+IMPORTRANGE(""https://docs.google.com/sprea"&amp;"dsheets/d/18T20gbkS_WBjdscyTOV05cvq_JqvqQ17C81mpxf7Ncs/edit?usp=sharing"",""สุราษฎร์ธานี!M324"")"),0)</f>
        <v>0</v>
      </c>
      <c r="N324" s="59">
        <f ca="1">IFERROR(__xludf.DUMMYFUNCTION("IMPORTRANGE(""https://docs.google.com/spreadsheets/d/1kKUcYdkIfrgTSj8iHHHB2MD2FAtwyyocFgqGQn6ADyI/edit?usp=sharing"",""กระบี่!N324"")+IMPORTRANGE(""https://docs.google.com/spreadsheets/d/1GwtLaSlNZkLk7iDqcyZz22giiy40b_usZZBXYciEN1U/edit?usp=sharing"",""ชุ"&amp;"มพร!N324"")+IMPORTRANGE(""https://docs.google.com/spreadsheets/d/16pAz3pOhQEZBhvFNMa5KGgZS6iKWpsKX0pg6tQmwFpo/edit?usp=sharing"",""ตรัง!N324"")+IMPORTRANGE(""https://docs.google.com/spreadsheets/d/1Dj4jcHCTV9JXKCaMoheSXS52JE63kDKyG7bPXnFogHk/edit?usp=shar"&amp;"ing"",""นครศรีธรรมราช!N324"")+IMPORTRANGE(""https://docs.google.com/spreadsheets/d/1iodCdmuK2GR3jzUwk8tpccY2JHQQA-87DLOtJP-ooyU/edit?usp=sharing"",""นราธิวาส!N324"")+IMPORTRANGE(""https://docs.google.com/spreadsheets/d/1SDNX3JhDdYRuIOsj0Wh2M-Qa_eaXl0NbWmh"&amp;"AOTbfQAs/edit?usp=sharing"",""ปัตตานี!N324"")+IMPORTRANGE(""https://docs.google.com/spreadsheets/d/16JDLGguT8s5DsGCND1KcwHP_AWR_zDMTqLHPLJUKhaU/edit?usp=sharing"",""พังงา!N324"")+IMPORTRANGE(""https://docs.google.com/spreadsheets/d/17ht0gPKzzT3PObBL1XJkeR"&amp;"mntBXI7wGjpLV7QorqlTk/edit?usp=sharing"",""พัทลุง!N324"")+IMPORTRANGE(""https://docs.google.com/spreadsheets/d/1rd4qoM1q_hsgaolqNGfrim9gbsoLxQsda4-vOz5x_BM/edit?usp=sharing"",""ภูเก็ต!N324"")+IMPORTRANGE(""https://docs.google.com/spreadsheets/d/1woKwKjgoL"&amp;"ssDvPcPeVyezB5izizAn4X1JDrys69n6xI/edit?usp=sharing"",""ยะลา!N324"")+IMPORTRANGE(""https://docs.google.com/spreadsheets/d/1qfrKjzMhm2HJfxQ-qVlJlJQ25Hne1d0khsySbZyGtPA/edit?usp=sharing"",""ระนอง!N324"")+IMPORTRANGE(""https://docs.google.com/spreadsheets/d/"&amp;"1IbSCnFOKpZsnFogBHJnL_isstZVaOMnFiIN0fGTPZZw/edit?usp=sharing"",""สงขลา!N324"")+IMPORTRANGE(""https://docs.google.com/spreadsheets/d/1q9nWasZJ-K8bFGvbE9n0qSRuKGA4Toe3Y89cKCiVtCU/edit?usp=sharing"",""สตูล!N324"")+IMPORTRANGE(""https://docs.google.com/sprea"&amp;"dsheets/d/18T20gbkS_WBjdscyTOV05cvq_JqvqQ17C81mpxf7Ncs/edit?usp=sharing"",""สุราษฎร์ธานี!N324"")"),0)</f>
        <v>0</v>
      </c>
      <c r="O324" s="59">
        <f t="shared" ca="1" si="138"/>
        <v>0</v>
      </c>
      <c r="P324" s="59">
        <f t="shared" ca="1" si="139"/>
        <v>0</v>
      </c>
    </row>
    <row r="325" spans="1:16" ht="18.75" x14ac:dyDescent="0.25">
      <c r="A325" s="157"/>
      <c r="B325" s="53"/>
      <c r="C325" s="53"/>
      <c r="D325" s="53"/>
      <c r="E325" s="60" t="s">
        <v>35</v>
      </c>
      <c r="F325" s="53"/>
      <c r="G325" s="55"/>
      <c r="H325" s="163" t="s">
        <v>12</v>
      </c>
      <c r="I325" s="164"/>
      <c r="J325" s="164"/>
      <c r="K325" s="165"/>
      <c r="L325" s="59">
        <f ca="1">IFERROR(__xludf.DUMMYFUNCTION("IMPORTRANGE(""https://docs.google.com/spreadsheets/d/1kKUcYdkIfrgTSj8iHHHB2MD2FAtwyyocFgqGQn6ADyI/edit?usp=sharing"",""กระบี่!L325"")+IMPORTRANGE(""https://docs.google.com/spreadsheets/d/1GwtLaSlNZkLk7iDqcyZz22giiy40b_usZZBXYciEN1U/edit?usp=sharing"",""ชุ"&amp;"มพร!L325"")+IMPORTRANGE(""https://docs.google.com/spreadsheets/d/16pAz3pOhQEZBhvFNMa5KGgZS6iKWpsKX0pg6tQmwFpo/edit?usp=sharing"",""ตรัง!L325"")+IMPORTRANGE(""https://docs.google.com/spreadsheets/d/1Dj4jcHCTV9JXKCaMoheSXS52JE63kDKyG7bPXnFogHk/edit?usp=shar"&amp;"ing"",""นครศรีธรรมราช!L325"")+IMPORTRANGE(""https://docs.google.com/spreadsheets/d/1iodCdmuK2GR3jzUwk8tpccY2JHQQA-87DLOtJP-ooyU/edit?usp=sharing"",""นราธิวาส!L325"")+IMPORTRANGE(""https://docs.google.com/spreadsheets/d/1SDNX3JhDdYRuIOsj0Wh2M-Qa_eaXl0NbWmh"&amp;"AOTbfQAs/edit?usp=sharing"",""ปัตตานี!L325"")+IMPORTRANGE(""https://docs.google.com/spreadsheets/d/16JDLGguT8s5DsGCND1KcwHP_AWR_zDMTqLHPLJUKhaU/edit?usp=sharing"",""พังงา!L325"")+IMPORTRANGE(""https://docs.google.com/spreadsheets/d/17ht0gPKzzT3PObBL1XJkeR"&amp;"mntBXI7wGjpLV7QorqlTk/edit?usp=sharing"",""พัทลุง!L325"")+IMPORTRANGE(""https://docs.google.com/spreadsheets/d/1rd4qoM1q_hsgaolqNGfrim9gbsoLxQsda4-vOz5x_BM/edit?usp=sharing"",""ภูเก็ต!L325"")+IMPORTRANGE(""https://docs.google.com/spreadsheets/d/1woKwKjgoL"&amp;"ssDvPcPeVyezB5izizAn4X1JDrys69n6xI/edit?usp=sharing"",""ยะลา!L325"")+IMPORTRANGE(""https://docs.google.com/spreadsheets/d/1qfrKjzMhm2HJfxQ-qVlJlJQ25Hne1d0khsySbZyGtPA/edit?usp=sharing"",""ระนอง!L325"")+IMPORTRANGE(""https://docs.google.com/spreadsheets/d/"&amp;"1IbSCnFOKpZsnFogBHJnL_isstZVaOMnFiIN0fGTPZZw/edit?usp=sharing"",""สงขลา!L325"")+IMPORTRANGE(""https://docs.google.com/spreadsheets/d/1q9nWasZJ-K8bFGvbE9n0qSRuKGA4Toe3Y89cKCiVtCU/edit?usp=sharing"",""สตูล!L325"")+IMPORTRANGE(""https://docs.google.com/sprea"&amp;"dsheets/d/18T20gbkS_WBjdscyTOV05cvq_JqvqQ17C81mpxf7Ncs/edit?usp=sharing"",""สุราษฎร์ธานี!L325"")"),90000)</f>
        <v>90000</v>
      </c>
      <c r="M325" s="59">
        <f ca="1">IFERROR(__xludf.DUMMYFUNCTION("IMPORTRANGE(""https://docs.google.com/spreadsheets/d/1kKUcYdkIfrgTSj8iHHHB2MD2FAtwyyocFgqGQn6ADyI/edit?usp=sharing"",""กระบี่!M325"")+IMPORTRANGE(""https://docs.google.com/spreadsheets/d/1GwtLaSlNZkLk7iDqcyZz22giiy40b_usZZBXYciEN1U/edit?usp=sharing"",""ชุ"&amp;"มพร!M325"")+IMPORTRANGE(""https://docs.google.com/spreadsheets/d/16pAz3pOhQEZBhvFNMa5KGgZS6iKWpsKX0pg6tQmwFpo/edit?usp=sharing"",""ตรัง!M325"")+IMPORTRANGE(""https://docs.google.com/spreadsheets/d/1Dj4jcHCTV9JXKCaMoheSXS52JE63kDKyG7bPXnFogHk/edit?usp=shar"&amp;"ing"",""นครศรีธรรมราช!M325"")+IMPORTRANGE(""https://docs.google.com/spreadsheets/d/1iodCdmuK2GR3jzUwk8tpccY2JHQQA-87DLOtJP-ooyU/edit?usp=sharing"",""นราธิวาส!M325"")+IMPORTRANGE(""https://docs.google.com/spreadsheets/d/1SDNX3JhDdYRuIOsj0Wh2M-Qa_eaXl0NbWmh"&amp;"AOTbfQAs/edit?usp=sharing"",""ปัตตานี!M325"")+IMPORTRANGE(""https://docs.google.com/spreadsheets/d/16JDLGguT8s5DsGCND1KcwHP_AWR_zDMTqLHPLJUKhaU/edit?usp=sharing"",""พังงา!M325"")+IMPORTRANGE(""https://docs.google.com/spreadsheets/d/17ht0gPKzzT3PObBL1XJkeR"&amp;"mntBXI7wGjpLV7QorqlTk/edit?usp=sharing"",""พัทลุง!M325"")+IMPORTRANGE(""https://docs.google.com/spreadsheets/d/1rd4qoM1q_hsgaolqNGfrim9gbsoLxQsda4-vOz5x_BM/edit?usp=sharing"",""ภูเก็ต!M325"")+IMPORTRANGE(""https://docs.google.com/spreadsheets/d/1woKwKjgoL"&amp;"ssDvPcPeVyezB5izizAn4X1JDrys69n6xI/edit?usp=sharing"",""ยะลา!M325"")+IMPORTRANGE(""https://docs.google.com/spreadsheets/d/1qfrKjzMhm2HJfxQ-qVlJlJQ25Hne1d0khsySbZyGtPA/edit?usp=sharing"",""ระนอง!M325"")+IMPORTRANGE(""https://docs.google.com/spreadsheets/d/"&amp;"1IbSCnFOKpZsnFogBHJnL_isstZVaOMnFiIN0fGTPZZw/edit?usp=sharing"",""สงขลา!M325"")+IMPORTRANGE(""https://docs.google.com/spreadsheets/d/1q9nWasZJ-K8bFGvbE9n0qSRuKGA4Toe3Y89cKCiVtCU/edit?usp=sharing"",""สตูล!M325"")+IMPORTRANGE(""https://docs.google.com/sprea"&amp;"dsheets/d/18T20gbkS_WBjdscyTOV05cvq_JqvqQ17C81mpxf7Ncs/edit?usp=sharing"",""สุราษฎร์ธานี!M325"")"),150000)</f>
        <v>150000</v>
      </c>
      <c r="N325" s="59">
        <f ca="1">IFERROR(__xludf.DUMMYFUNCTION("IMPORTRANGE(""https://docs.google.com/spreadsheets/d/1kKUcYdkIfrgTSj8iHHHB2MD2FAtwyyocFgqGQn6ADyI/edit?usp=sharing"",""กระบี่!N325"")+IMPORTRANGE(""https://docs.google.com/spreadsheets/d/1GwtLaSlNZkLk7iDqcyZz22giiy40b_usZZBXYciEN1U/edit?usp=sharing"",""ชุ"&amp;"มพร!N325"")+IMPORTRANGE(""https://docs.google.com/spreadsheets/d/16pAz3pOhQEZBhvFNMa5KGgZS6iKWpsKX0pg6tQmwFpo/edit?usp=sharing"",""ตรัง!N325"")+IMPORTRANGE(""https://docs.google.com/spreadsheets/d/1Dj4jcHCTV9JXKCaMoheSXS52JE63kDKyG7bPXnFogHk/edit?usp=shar"&amp;"ing"",""นครศรีธรรมราช!N325"")+IMPORTRANGE(""https://docs.google.com/spreadsheets/d/1iodCdmuK2GR3jzUwk8tpccY2JHQQA-87DLOtJP-ooyU/edit?usp=sharing"",""นราธิวาส!N325"")+IMPORTRANGE(""https://docs.google.com/spreadsheets/d/1SDNX3JhDdYRuIOsj0Wh2M-Qa_eaXl0NbWmh"&amp;"AOTbfQAs/edit?usp=sharing"",""ปัตตานี!N325"")+IMPORTRANGE(""https://docs.google.com/spreadsheets/d/16JDLGguT8s5DsGCND1KcwHP_AWR_zDMTqLHPLJUKhaU/edit?usp=sharing"",""พังงา!N325"")+IMPORTRANGE(""https://docs.google.com/spreadsheets/d/17ht0gPKzzT3PObBL1XJkeR"&amp;"mntBXI7wGjpLV7QorqlTk/edit?usp=sharing"",""พัทลุง!N325"")+IMPORTRANGE(""https://docs.google.com/spreadsheets/d/1rd4qoM1q_hsgaolqNGfrim9gbsoLxQsda4-vOz5x_BM/edit?usp=sharing"",""ภูเก็ต!N325"")+IMPORTRANGE(""https://docs.google.com/spreadsheets/d/1woKwKjgoL"&amp;"ssDvPcPeVyezB5izizAn4X1JDrys69n6xI/edit?usp=sharing"",""ยะลา!N325"")+IMPORTRANGE(""https://docs.google.com/spreadsheets/d/1qfrKjzMhm2HJfxQ-qVlJlJQ25Hne1d0khsySbZyGtPA/edit?usp=sharing"",""ระนอง!N325"")+IMPORTRANGE(""https://docs.google.com/spreadsheets/d/"&amp;"1IbSCnFOKpZsnFogBHJnL_isstZVaOMnFiIN0fGTPZZw/edit?usp=sharing"",""สงขลา!N325"")+IMPORTRANGE(""https://docs.google.com/spreadsheets/d/1q9nWasZJ-K8bFGvbE9n0qSRuKGA4Toe3Y89cKCiVtCU/edit?usp=sharing"",""สตูล!N325"")+IMPORTRANGE(""https://docs.google.com/sprea"&amp;"dsheets/d/18T20gbkS_WBjdscyTOV05cvq_JqvqQ17C81mpxf7Ncs/edit?usp=sharing"",""สุราษฎร์ธานี!N325"")"),92924.1)</f>
        <v>92924.1</v>
      </c>
      <c r="O325" s="59">
        <f t="shared" ca="1" si="138"/>
        <v>103.249</v>
      </c>
      <c r="P325" s="59">
        <f t="shared" ca="1" si="139"/>
        <v>61.949399999999997</v>
      </c>
    </row>
    <row r="326" spans="1:16" ht="18.75" x14ac:dyDescent="0.25">
      <c r="A326" s="157"/>
      <c r="B326" s="53"/>
      <c r="C326" s="53"/>
      <c r="D326" s="54" t="s">
        <v>21</v>
      </c>
      <c r="E326" s="53"/>
      <c r="F326" s="53"/>
      <c r="G326" s="55"/>
      <c r="H326" s="166" t="s">
        <v>12</v>
      </c>
      <c r="I326" s="164"/>
      <c r="J326" s="164"/>
      <c r="K326" s="165"/>
      <c r="L326" s="59">
        <f t="shared" ref="L326:N326" ca="1" si="143">L327+L328</f>
        <v>0</v>
      </c>
      <c r="M326" s="59">
        <f t="shared" ca="1" si="143"/>
        <v>0</v>
      </c>
      <c r="N326" s="59">
        <f t="shared" ca="1" si="143"/>
        <v>0</v>
      </c>
      <c r="O326" s="59">
        <f t="shared" ca="1" si="138"/>
        <v>0</v>
      </c>
      <c r="P326" s="59">
        <f t="shared" ca="1" si="139"/>
        <v>0</v>
      </c>
    </row>
    <row r="327" spans="1:16" ht="18.75" x14ac:dyDescent="0.25">
      <c r="A327" s="157"/>
      <c r="B327" s="53"/>
      <c r="C327" s="53"/>
      <c r="D327" s="53"/>
      <c r="E327" s="60" t="s">
        <v>18</v>
      </c>
      <c r="F327" s="53"/>
      <c r="G327" s="55"/>
      <c r="H327" s="163" t="s">
        <v>12</v>
      </c>
      <c r="I327" s="164"/>
      <c r="J327" s="164"/>
      <c r="K327" s="165"/>
      <c r="L327" s="59">
        <f ca="1">IFERROR(__xludf.DUMMYFUNCTION("IMPORTRANGE(""https://docs.google.com/spreadsheets/d/1kKUcYdkIfrgTSj8iHHHB2MD2FAtwyyocFgqGQn6ADyI/edit?usp=sharing"",""กระบี่!L327"")+IMPORTRANGE(""https://docs.google.com/spreadsheets/d/1GwtLaSlNZkLk7iDqcyZz22giiy40b_usZZBXYciEN1U/edit?usp=sharing"",""ชุ"&amp;"มพร!L327"")+IMPORTRANGE(""https://docs.google.com/spreadsheets/d/16pAz3pOhQEZBhvFNMa5KGgZS6iKWpsKX0pg6tQmwFpo/edit?usp=sharing"",""ตรัง!L327"")+IMPORTRANGE(""https://docs.google.com/spreadsheets/d/1Dj4jcHCTV9JXKCaMoheSXS52JE63kDKyG7bPXnFogHk/edit?usp=shar"&amp;"ing"",""นครศรีธรรมราช!L327"")+IMPORTRANGE(""https://docs.google.com/spreadsheets/d/1iodCdmuK2GR3jzUwk8tpccY2JHQQA-87DLOtJP-ooyU/edit?usp=sharing"",""นราธิวาส!L327"")+IMPORTRANGE(""https://docs.google.com/spreadsheets/d/1SDNX3JhDdYRuIOsj0Wh2M-Qa_eaXl0NbWmh"&amp;"AOTbfQAs/edit?usp=sharing"",""ปัตตานี!L327"")+IMPORTRANGE(""https://docs.google.com/spreadsheets/d/16JDLGguT8s5DsGCND1KcwHP_AWR_zDMTqLHPLJUKhaU/edit?usp=sharing"",""พังงา!L327"")+IMPORTRANGE(""https://docs.google.com/spreadsheets/d/17ht0gPKzzT3PObBL1XJkeR"&amp;"mntBXI7wGjpLV7QorqlTk/edit?usp=sharing"",""พัทลุง!L327"")+IMPORTRANGE(""https://docs.google.com/spreadsheets/d/1rd4qoM1q_hsgaolqNGfrim9gbsoLxQsda4-vOz5x_BM/edit?usp=sharing"",""ภูเก็ต!L327"")+IMPORTRANGE(""https://docs.google.com/spreadsheets/d/1woKwKjgoL"&amp;"ssDvPcPeVyezB5izizAn4X1JDrys69n6xI/edit?usp=sharing"",""ยะลา!L327"")+IMPORTRANGE(""https://docs.google.com/spreadsheets/d/1qfrKjzMhm2HJfxQ-qVlJlJQ25Hne1d0khsySbZyGtPA/edit?usp=sharing"",""ระนอง!L327"")+IMPORTRANGE(""https://docs.google.com/spreadsheets/d/"&amp;"1IbSCnFOKpZsnFogBHJnL_isstZVaOMnFiIN0fGTPZZw/edit?usp=sharing"",""สงขลา!L327"")+IMPORTRANGE(""https://docs.google.com/spreadsheets/d/1q9nWasZJ-K8bFGvbE9n0qSRuKGA4Toe3Y89cKCiVtCU/edit?usp=sharing"",""สตูล!L327"")+IMPORTRANGE(""https://docs.google.com/sprea"&amp;"dsheets/d/18T20gbkS_WBjdscyTOV05cvq_JqvqQ17C81mpxf7Ncs/edit?usp=sharing"",""สุราษฎร์ธานี!L327"")"),0)</f>
        <v>0</v>
      </c>
      <c r="M327" s="59">
        <f ca="1">IFERROR(__xludf.DUMMYFUNCTION("IMPORTRANGE(""https://docs.google.com/spreadsheets/d/1kKUcYdkIfrgTSj8iHHHB2MD2FAtwyyocFgqGQn6ADyI/edit?usp=sharing"",""กระบี่!M327"")+IMPORTRANGE(""https://docs.google.com/spreadsheets/d/1GwtLaSlNZkLk7iDqcyZz22giiy40b_usZZBXYciEN1U/edit?usp=sharing"",""ชุ"&amp;"มพร!M327"")+IMPORTRANGE(""https://docs.google.com/spreadsheets/d/16pAz3pOhQEZBhvFNMa5KGgZS6iKWpsKX0pg6tQmwFpo/edit?usp=sharing"",""ตรัง!M327"")+IMPORTRANGE(""https://docs.google.com/spreadsheets/d/1Dj4jcHCTV9JXKCaMoheSXS52JE63kDKyG7bPXnFogHk/edit?usp=shar"&amp;"ing"",""นครศรีธรรมราช!M327"")+IMPORTRANGE(""https://docs.google.com/spreadsheets/d/1iodCdmuK2GR3jzUwk8tpccY2JHQQA-87DLOtJP-ooyU/edit?usp=sharing"",""นราธิวาส!M327"")+IMPORTRANGE(""https://docs.google.com/spreadsheets/d/1SDNX3JhDdYRuIOsj0Wh2M-Qa_eaXl0NbWmh"&amp;"AOTbfQAs/edit?usp=sharing"",""ปัตตานี!M327"")+IMPORTRANGE(""https://docs.google.com/spreadsheets/d/16JDLGguT8s5DsGCND1KcwHP_AWR_zDMTqLHPLJUKhaU/edit?usp=sharing"",""พังงา!M327"")+IMPORTRANGE(""https://docs.google.com/spreadsheets/d/17ht0gPKzzT3PObBL1XJkeR"&amp;"mntBXI7wGjpLV7QorqlTk/edit?usp=sharing"",""พัทลุง!M327"")+IMPORTRANGE(""https://docs.google.com/spreadsheets/d/1rd4qoM1q_hsgaolqNGfrim9gbsoLxQsda4-vOz5x_BM/edit?usp=sharing"",""ภูเก็ต!M327"")+IMPORTRANGE(""https://docs.google.com/spreadsheets/d/1woKwKjgoL"&amp;"ssDvPcPeVyezB5izizAn4X1JDrys69n6xI/edit?usp=sharing"",""ยะลา!M327"")+IMPORTRANGE(""https://docs.google.com/spreadsheets/d/1qfrKjzMhm2HJfxQ-qVlJlJQ25Hne1d0khsySbZyGtPA/edit?usp=sharing"",""ระนอง!M327"")+IMPORTRANGE(""https://docs.google.com/spreadsheets/d/"&amp;"1IbSCnFOKpZsnFogBHJnL_isstZVaOMnFiIN0fGTPZZw/edit?usp=sharing"",""สงขลา!M327"")+IMPORTRANGE(""https://docs.google.com/spreadsheets/d/1q9nWasZJ-K8bFGvbE9n0qSRuKGA4Toe3Y89cKCiVtCU/edit?usp=sharing"",""สตูล!M327"")+IMPORTRANGE(""https://docs.google.com/sprea"&amp;"dsheets/d/18T20gbkS_WBjdscyTOV05cvq_JqvqQ17C81mpxf7Ncs/edit?usp=sharing"",""สุราษฎร์ธานี!M327"")"),0)</f>
        <v>0</v>
      </c>
      <c r="N327" s="59">
        <f ca="1">IFERROR(__xludf.DUMMYFUNCTION("IMPORTRANGE(""https://docs.google.com/spreadsheets/d/1kKUcYdkIfrgTSj8iHHHB2MD2FAtwyyocFgqGQn6ADyI/edit?usp=sharing"",""กระบี่!N327"")+IMPORTRANGE(""https://docs.google.com/spreadsheets/d/1GwtLaSlNZkLk7iDqcyZz22giiy40b_usZZBXYciEN1U/edit?usp=sharing"",""ชุ"&amp;"มพร!N327"")+IMPORTRANGE(""https://docs.google.com/spreadsheets/d/16pAz3pOhQEZBhvFNMa5KGgZS6iKWpsKX0pg6tQmwFpo/edit?usp=sharing"",""ตรัง!N327"")+IMPORTRANGE(""https://docs.google.com/spreadsheets/d/1Dj4jcHCTV9JXKCaMoheSXS52JE63kDKyG7bPXnFogHk/edit?usp=shar"&amp;"ing"",""นครศรีธรรมราช!N327"")+IMPORTRANGE(""https://docs.google.com/spreadsheets/d/1iodCdmuK2GR3jzUwk8tpccY2JHQQA-87DLOtJP-ooyU/edit?usp=sharing"",""นราธิวาส!N327"")+IMPORTRANGE(""https://docs.google.com/spreadsheets/d/1SDNX3JhDdYRuIOsj0Wh2M-Qa_eaXl0NbWmh"&amp;"AOTbfQAs/edit?usp=sharing"",""ปัตตานี!N327"")+IMPORTRANGE(""https://docs.google.com/spreadsheets/d/16JDLGguT8s5DsGCND1KcwHP_AWR_zDMTqLHPLJUKhaU/edit?usp=sharing"",""พังงา!N327"")+IMPORTRANGE(""https://docs.google.com/spreadsheets/d/17ht0gPKzzT3PObBL1XJkeR"&amp;"mntBXI7wGjpLV7QorqlTk/edit?usp=sharing"",""พัทลุง!N327"")+IMPORTRANGE(""https://docs.google.com/spreadsheets/d/1rd4qoM1q_hsgaolqNGfrim9gbsoLxQsda4-vOz5x_BM/edit?usp=sharing"",""ภูเก็ต!N327"")+IMPORTRANGE(""https://docs.google.com/spreadsheets/d/1woKwKjgoL"&amp;"ssDvPcPeVyezB5izizAn4X1JDrys69n6xI/edit?usp=sharing"",""ยะลา!N327"")+IMPORTRANGE(""https://docs.google.com/spreadsheets/d/1qfrKjzMhm2HJfxQ-qVlJlJQ25Hne1d0khsySbZyGtPA/edit?usp=sharing"",""ระนอง!N327"")+IMPORTRANGE(""https://docs.google.com/spreadsheets/d/"&amp;"1IbSCnFOKpZsnFogBHJnL_isstZVaOMnFiIN0fGTPZZw/edit?usp=sharing"",""สงขลา!N327"")+IMPORTRANGE(""https://docs.google.com/spreadsheets/d/1q9nWasZJ-K8bFGvbE9n0qSRuKGA4Toe3Y89cKCiVtCU/edit?usp=sharing"",""สตูล!N327"")+IMPORTRANGE(""https://docs.google.com/sprea"&amp;"dsheets/d/18T20gbkS_WBjdscyTOV05cvq_JqvqQ17C81mpxf7Ncs/edit?usp=sharing"",""สุราษฎร์ธานี!N327"")"),0)</f>
        <v>0</v>
      </c>
      <c r="O327" s="59">
        <f t="shared" ca="1" si="138"/>
        <v>0</v>
      </c>
      <c r="P327" s="59">
        <f t="shared" ca="1" si="139"/>
        <v>0</v>
      </c>
    </row>
    <row r="328" spans="1:16" ht="18.75" x14ac:dyDescent="0.25">
      <c r="A328" s="157"/>
      <c r="B328" s="53"/>
      <c r="C328" s="53"/>
      <c r="D328" s="53"/>
      <c r="E328" s="60" t="s">
        <v>19</v>
      </c>
      <c r="F328" s="53"/>
      <c r="G328" s="55"/>
      <c r="H328" s="166" t="s">
        <v>12</v>
      </c>
      <c r="I328" s="164"/>
      <c r="J328" s="164"/>
      <c r="K328" s="165"/>
      <c r="L328" s="59">
        <f ca="1">IFERROR(__xludf.DUMMYFUNCTION("IMPORTRANGE(""https://docs.google.com/spreadsheets/d/1kKUcYdkIfrgTSj8iHHHB2MD2FAtwyyocFgqGQn6ADyI/edit?usp=sharing"",""กระบี่!L328"")+IMPORTRANGE(""https://docs.google.com/spreadsheets/d/1GwtLaSlNZkLk7iDqcyZz22giiy40b_usZZBXYciEN1U/edit?usp=sharing"",""ชุ"&amp;"มพร!L328"")+IMPORTRANGE(""https://docs.google.com/spreadsheets/d/16pAz3pOhQEZBhvFNMa5KGgZS6iKWpsKX0pg6tQmwFpo/edit?usp=sharing"",""ตรัง!L328"")+IMPORTRANGE(""https://docs.google.com/spreadsheets/d/1Dj4jcHCTV9JXKCaMoheSXS52JE63kDKyG7bPXnFogHk/edit?usp=shar"&amp;"ing"",""นครศรีธรรมราช!L328"")+IMPORTRANGE(""https://docs.google.com/spreadsheets/d/1iodCdmuK2GR3jzUwk8tpccY2JHQQA-87DLOtJP-ooyU/edit?usp=sharing"",""นราธิวาส!L328"")+IMPORTRANGE(""https://docs.google.com/spreadsheets/d/1SDNX3JhDdYRuIOsj0Wh2M-Qa_eaXl0NbWmh"&amp;"AOTbfQAs/edit?usp=sharing"",""ปัตตานี!L328"")+IMPORTRANGE(""https://docs.google.com/spreadsheets/d/16JDLGguT8s5DsGCND1KcwHP_AWR_zDMTqLHPLJUKhaU/edit?usp=sharing"",""พังงา!L328"")+IMPORTRANGE(""https://docs.google.com/spreadsheets/d/17ht0gPKzzT3PObBL1XJkeR"&amp;"mntBXI7wGjpLV7QorqlTk/edit?usp=sharing"",""พัทลุง!L328"")+IMPORTRANGE(""https://docs.google.com/spreadsheets/d/1rd4qoM1q_hsgaolqNGfrim9gbsoLxQsda4-vOz5x_BM/edit?usp=sharing"",""ภูเก็ต!L328"")+IMPORTRANGE(""https://docs.google.com/spreadsheets/d/1woKwKjgoL"&amp;"ssDvPcPeVyezB5izizAn4X1JDrys69n6xI/edit?usp=sharing"",""ยะลา!L328"")+IMPORTRANGE(""https://docs.google.com/spreadsheets/d/1qfrKjzMhm2HJfxQ-qVlJlJQ25Hne1d0khsySbZyGtPA/edit?usp=sharing"",""ระนอง!L328"")+IMPORTRANGE(""https://docs.google.com/spreadsheets/d/"&amp;"1IbSCnFOKpZsnFogBHJnL_isstZVaOMnFiIN0fGTPZZw/edit?usp=sharing"",""สงขลา!L328"")+IMPORTRANGE(""https://docs.google.com/spreadsheets/d/1q9nWasZJ-K8bFGvbE9n0qSRuKGA4Toe3Y89cKCiVtCU/edit?usp=sharing"",""สตูล!L328"")+IMPORTRANGE(""https://docs.google.com/sprea"&amp;"dsheets/d/18T20gbkS_WBjdscyTOV05cvq_JqvqQ17C81mpxf7Ncs/edit?usp=sharing"",""สุราษฎร์ธานี!L328"")"),0)</f>
        <v>0</v>
      </c>
      <c r="M328" s="59">
        <f ca="1">IFERROR(__xludf.DUMMYFUNCTION("IMPORTRANGE(""https://docs.google.com/spreadsheets/d/1kKUcYdkIfrgTSj8iHHHB2MD2FAtwyyocFgqGQn6ADyI/edit?usp=sharing"",""กระบี่!M328"")+IMPORTRANGE(""https://docs.google.com/spreadsheets/d/1GwtLaSlNZkLk7iDqcyZz22giiy40b_usZZBXYciEN1U/edit?usp=sharing"",""ชุ"&amp;"มพร!M328"")+IMPORTRANGE(""https://docs.google.com/spreadsheets/d/16pAz3pOhQEZBhvFNMa5KGgZS6iKWpsKX0pg6tQmwFpo/edit?usp=sharing"",""ตรัง!M328"")+IMPORTRANGE(""https://docs.google.com/spreadsheets/d/1Dj4jcHCTV9JXKCaMoheSXS52JE63kDKyG7bPXnFogHk/edit?usp=shar"&amp;"ing"",""นครศรีธรรมราช!M328"")+IMPORTRANGE(""https://docs.google.com/spreadsheets/d/1iodCdmuK2GR3jzUwk8tpccY2JHQQA-87DLOtJP-ooyU/edit?usp=sharing"",""นราธิวาส!M328"")+IMPORTRANGE(""https://docs.google.com/spreadsheets/d/1SDNX3JhDdYRuIOsj0Wh2M-Qa_eaXl0NbWmh"&amp;"AOTbfQAs/edit?usp=sharing"",""ปัตตานี!M328"")+IMPORTRANGE(""https://docs.google.com/spreadsheets/d/16JDLGguT8s5DsGCND1KcwHP_AWR_zDMTqLHPLJUKhaU/edit?usp=sharing"",""พังงา!M328"")+IMPORTRANGE(""https://docs.google.com/spreadsheets/d/17ht0gPKzzT3PObBL1XJkeR"&amp;"mntBXI7wGjpLV7QorqlTk/edit?usp=sharing"",""พัทลุง!M328"")+IMPORTRANGE(""https://docs.google.com/spreadsheets/d/1rd4qoM1q_hsgaolqNGfrim9gbsoLxQsda4-vOz5x_BM/edit?usp=sharing"",""ภูเก็ต!M328"")+IMPORTRANGE(""https://docs.google.com/spreadsheets/d/1woKwKjgoL"&amp;"ssDvPcPeVyezB5izizAn4X1JDrys69n6xI/edit?usp=sharing"",""ยะลา!M328"")+IMPORTRANGE(""https://docs.google.com/spreadsheets/d/1qfrKjzMhm2HJfxQ-qVlJlJQ25Hne1d0khsySbZyGtPA/edit?usp=sharing"",""ระนอง!M328"")+IMPORTRANGE(""https://docs.google.com/spreadsheets/d/"&amp;"1IbSCnFOKpZsnFogBHJnL_isstZVaOMnFiIN0fGTPZZw/edit?usp=sharing"",""สงขลา!M328"")+IMPORTRANGE(""https://docs.google.com/spreadsheets/d/1q9nWasZJ-K8bFGvbE9n0qSRuKGA4Toe3Y89cKCiVtCU/edit?usp=sharing"",""สตูล!M328"")+IMPORTRANGE(""https://docs.google.com/sprea"&amp;"dsheets/d/18T20gbkS_WBjdscyTOV05cvq_JqvqQ17C81mpxf7Ncs/edit?usp=sharing"",""สุราษฎร์ธานี!M328"")"),0)</f>
        <v>0</v>
      </c>
      <c r="N328" s="59">
        <f ca="1">IFERROR(__xludf.DUMMYFUNCTION("IMPORTRANGE(""https://docs.google.com/spreadsheets/d/1kKUcYdkIfrgTSj8iHHHB2MD2FAtwyyocFgqGQn6ADyI/edit?usp=sharing"",""กระบี่!N328"")+IMPORTRANGE(""https://docs.google.com/spreadsheets/d/1GwtLaSlNZkLk7iDqcyZz22giiy40b_usZZBXYciEN1U/edit?usp=sharing"",""ชุ"&amp;"มพร!N328"")+IMPORTRANGE(""https://docs.google.com/spreadsheets/d/16pAz3pOhQEZBhvFNMa5KGgZS6iKWpsKX0pg6tQmwFpo/edit?usp=sharing"",""ตรัง!N328"")+IMPORTRANGE(""https://docs.google.com/spreadsheets/d/1Dj4jcHCTV9JXKCaMoheSXS52JE63kDKyG7bPXnFogHk/edit?usp=shar"&amp;"ing"",""นครศรีธรรมราช!N328"")+IMPORTRANGE(""https://docs.google.com/spreadsheets/d/1iodCdmuK2GR3jzUwk8tpccY2JHQQA-87DLOtJP-ooyU/edit?usp=sharing"",""นราธิวาส!N328"")+IMPORTRANGE(""https://docs.google.com/spreadsheets/d/1SDNX3JhDdYRuIOsj0Wh2M-Qa_eaXl0NbWmh"&amp;"AOTbfQAs/edit?usp=sharing"",""ปัตตานี!N328"")+IMPORTRANGE(""https://docs.google.com/spreadsheets/d/16JDLGguT8s5DsGCND1KcwHP_AWR_zDMTqLHPLJUKhaU/edit?usp=sharing"",""พังงา!N328"")+IMPORTRANGE(""https://docs.google.com/spreadsheets/d/17ht0gPKzzT3PObBL1XJkeR"&amp;"mntBXI7wGjpLV7QorqlTk/edit?usp=sharing"",""พัทลุง!N328"")+IMPORTRANGE(""https://docs.google.com/spreadsheets/d/1rd4qoM1q_hsgaolqNGfrim9gbsoLxQsda4-vOz5x_BM/edit?usp=sharing"",""ภูเก็ต!N328"")+IMPORTRANGE(""https://docs.google.com/spreadsheets/d/1woKwKjgoL"&amp;"ssDvPcPeVyezB5izizAn4X1JDrys69n6xI/edit?usp=sharing"",""ยะลา!N328"")+IMPORTRANGE(""https://docs.google.com/spreadsheets/d/1qfrKjzMhm2HJfxQ-qVlJlJQ25Hne1d0khsySbZyGtPA/edit?usp=sharing"",""ระนอง!N328"")+IMPORTRANGE(""https://docs.google.com/spreadsheets/d/"&amp;"1IbSCnFOKpZsnFogBHJnL_isstZVaOMnFiIN0fGTPZZw/edit?usp=sharing"",""สงขลา!N328"")+IMPORTRANGE(""https://docs.google.com/spreadsheets/d/1q9nWasZJ-K8bFGvbE9n0qSRuKGA4Toe3Y89cKCiVtCU/edit?usp=sharing"",""สตูล!N328"")+IMPORTRANGE(""https://docs.google.com/sprea"&amp;"dsheets/d/18T20gbkS_WBjdscyTOV05cvq_JqvqQ17C81mpxf7Ncs/edit?usp=sharing"",""สุราษฎร์ธานี!N328"")"),0)</f>
        <v>0</v>
      </c>
      <c r="O328" s="59">
        <f t="shared" ca="1" si="138"/>
        <v>0</v>
      </c>
      <c r="P328" s="59">
        <f t="shared" ca="1" si="139"/>
        <v>0</v>
      </c>
    </row>
    <row r="329" spans="1:16" ht="19.5" x14ac:dyDescent="0.3">
      <c r="A329" s="167"/>
      <c r="B329" s="168"/>
      <c r="C329" s="158" t="s">
        <v>16</v>
      </c>
      <c r="D329" s="169" t="s">
        <v>36</v>
      </c>
      <c r="E329" s="170"/>
      <c r="F329" s="170"/>
      <c r="G329" s="171"/>
      <c r="H329" s="172"/>
      <c r="I329" s="164"/>
      <c r="J329" s="57"/>
      <c r="K329" s="58"/>
      <c r="L329" s="58"/>
      <c r="M329" s="58"/>
      <c r="N329" s="58"/>
      <c r="O329" s="165"/>
      <c r="P329" s="165"/>
    </row>
    <row r="330" spans="1:16" ht="18.75" x14ac:dyDescent="0.25">
      <c r="A330" s="167"/>
      <c r="B330" s="168"/>
      <c r="C330" s="168"/>
      <c r="D330" s="173" t="s">
        <v>127</v>
      </c>
      <c r="E330" s="174"/>
      <c r="F330" s="174"/>
      <c r="G330" s="172"/>
      <c r="H330" s="56" t="s">
        <v>126</v>
      </c>
      <c r="I330" s="194">
        <f ca="1">IFERROR(__xludf.DUMMYFUNCTION("IMPORTRANGE(""https://docs.google.com/spreadsheets/d/1kKUcYdkIfrgTSj8iHHHB2MD2FAtwyyocFgqGQn6ADyI/edit?usp=sharing"",""กระบี่!I330"")+IMPORTRANGE(""https://docs.google.com/spreadsheets/d/1GwtLaSlNZkLk7iDqcyZz22giiy40b_usZZBXYciEN1U/edit?usp=sharing"",""ชุ"&amp;"มพร!I330"")+IMPORTRANGE(""https://docs.google.com/spreadsheets/d/16pAz3pOhQEZBhvFNMa5KGgZS6iKWpsKX0pg6tQmwFpo/edit?usp=sharing"",""ตรัง!I330"")+IMPORTRANGE(""https://docs.google.com/spreadsheets/d/1Dj4jcHCTV9JXKCaMoheSXS52JE63kDKyG7bPXnFogHk/edit?usp=shar"&amp;"ing"",""นครศรีธรรมราช!I330"")+IMPORTRANGE(""https://docs.google.com/spreadsheets/d/1iodCdmuK2GR3jzUwk8tpccY2JHQQA-87DLOtJP-ooyU/edit?usp=sharing"",""นราธิวาส!I330"")+IMPORTRANGE(""https://docs.google.com/spreadsheets/d/1SDNX3JhDdYRuIOsj0Wh2M-Qa_eaXl0NbWmh"&amp;"AOTbfQAs/edit?usp=sharing"",""ปัตตานี!I330"")+IMPORTRANGE(""https://docs.google.com/spreadsheets/d/16JDLGguT8s5DsGCND1KcwHP_AWR_zDMTqLHPLJUKhaU/edit?usp=sharing"",""พังงา!I330"")+IMPORTRANGE(""https://docs.google.com/spreadsheets/d/17ht0gPKzzT3PObBL1XJkeR"&amp;"mntBXI7wGjpLV7QorqlTk/edit?usp=sharing"",""พัทลุง!I330"")+IMPORTRANGE(""https://docs.google.com/spreadsheets/d/1rd4qoM1q_hsgaolqNGfrim9gbsoLxQsda4-vOz5x_BM/edit?usp=sharing"",""ภูเก็ต!I330"")+IMPORTRANGE(""https://docs.google.com/spreadsheets/d/1woKwKjgoL"&amp;"ssDvPcPeVyezB5izizAn4X1JDrys69n6xI/edit?usp=sharing"",""ยะลา!I330"")+IMPORTRANGE(""https://docs.google.com/spreadsheets/d/1qfrKjzMhm2HJfxQ-qVlJlJQ25Hne1d0khsySbZyGtPA/edit?usp=sharing"",""ระนอง!I330"")+IMPORTRANGE(""https://docs.google.com/spreadsheets/d/"&amp;"1IbSCnFOKpZsnFogBHJnL_isstZVaOMnFiIN0fGTPZZw/edit?usp=sharing"",""สงขลา!I330"")+IMPORTRANGE(""https://docs.google.com/spreadsheets/d/1q9nWasZJ-K8bFGvbE9n0qSRuKGA4Toe3Y89cKCiVtCU/edit?usp=sharing"",""สตูล!I330"")+IMPORTRANGE(""https://docs.google.com/sprea"&amp;"dsheets/d/18T20gbkS_WBjdscyTOV05cvq_JqvqQ17C81mpxf7Ncs/edit?usp=sharing"",""สุราษฎร์ธานี!I330"")"),4)</f>
        <v>4</v>
      </c>
      <c r="J330" s="194">
        <f ca="1">IFERROR(__xludf.DUMMYFUNCTION("IMPORTRANGE(""https://docs.google.com/spreadsheets/d/1kKUcYdkIfrgTSj8iHHHB2MD2FAtwyyocFgqGQn6ADyI/edit?usp=sharing"",""กระบี่!J330"")+IMPORTRANGE(""https://docs.google.com/spreadsheets/d/1GwtLaSlNZkLk7iDqcyZz22giiy40b_usZZBXYciEN1U/edit?usp=sharing"",""ชุ"&amp;"มพร!J330"")+IMPORTRANGE(""https://docs.google.com/spreadsheets/d/16pAz3pOhQEZBhvFNMa5KGgZS6iKWpsKX0pg6tQmwFpo/edit?usp=sharing"",""ตรัง!J330"")+IMPORTRANGE(""https://docs.google.com/spreadsheets/d/1Dj4jcHCTV9JXKCaMoheSXS52JE63kDKyG7bPXnFogHk/edit?usp=shar"&amp;"ing"",""นครศรีธรรมราช!J330"")+IMPORTRANGE(""https://docs.google.com/spreadsheets/d/1iodCdmuK2GR3jzUwk8tpccY2JHQQA-87DLOtJP-ooyU/edit?usp=sharing"",""นราธิวาส!J330"")+IMPORTRANGE(""https://docs.google.com/spreadsheets/d/1SDNX3JhDdYRuIOsj0Wh2M-Qa_eaXl0NbWmh"&amp;"AOTbfQAs/edit?usp=sharing"",""ปัตตานี!J330"")+IMPORTRANGE(""https://docs.google.com/spreadsheets/d/16JDLGguT8s5DsGCND1KcwHP_AWR_zDMTqLHPLJUKhaU/edit?usp=sharing"",""พังงา!J330"")+IMPORTRANGE(""https://docs.google.com/spreadsheets/d/17ht0gPKzzT3PObBL1XJkeR"&amp;"mntBXI7wGjpLV7QorqlTk/edit?usp=sharing"",""พัทลุง!J330"")+IMPORTRANGE(""https://docs.google.com/spreadsheets/d/1rd4qoM1q_hsgaolqNGfrim9gbsoLxQsda4-vOz5x_BM/edit?usp=sharing"",""ภูเก็ต!J330"")+IMPORTRANGE(""https://docs.google.com/spreadsheets/d/1woKwKjgoL"&amp;"ssDvPcPeVyezB5izizAn4X1JDrys69n6xI/edit?usp=sharing"",""ยะลา!J330"")+IMPORTRANGE(""https://docs.google.com/spreadsheets/d/1qfrKjzMhm2HJfxQ-qVlJlJQ25Hne1d0khsySbZyGtPA/edit?usp=sharing"",""ระนอง!J330"")+IMPORTRANGE(""https://docs.google.com/spreadsheets/d/"&amp;"1IbSCnFOKpZsnFogBHJnL_isstZVaOMnFiIN0fGTPZZw/edit?usp=sharing"",""สงขลา!J330"")+IMPORTRANGE(""https://docs.google.com/spreadsheets/d/1q9nWasZJ-K8bFGvbE9n0qSRuKGA4Toe3Y89cKCiVtCU/edit?usp=sharing"",""สตูล!J330"")+IMPORTRANGE(""https://docs.google.com/sprea"&amp;"dsheets/d/18T20gbkS_WBjdscyTOV05cvq_JqvqQ17C81mpxf7Ncs/edit?usp=sharing"",""สุราษฎร์ธานี!J330"")"),0)</f>
        <v>0</v>
      </c>
      <c r="K330" s="59">
        <f ca="1">IF(I330&gt;0,J330*100/I330,0)</f>
        <v>0</v>
      </c>
      <c r="L330" s="58"/>
      <c r="M330" s="58"/>
      <c r="N330" s="58"/>
      <c r="O330" s="165"/>
      <c r="P330" s="165"/>
    </row>
    <row r="331" spans="1:16" ht="19.5" x14ac:dyDescent="0.3">
      <c r="A331" s="384" t="s">
        <v>128</v>
      </c>
      <c r="B331" s="385"/>
      <c r="C331" s="385"/>
      <c r="D331" s="386"/>
      <c r="E331" s="385"/>
      <c r="F331" s="385"/>
      <c r="G331" s="385"/>
      <c r="H331" s="386"/>
      <c r="I331" s="388"/>
      <c r="J331" s="388"/>
      <c r="K331" s="389"/>
      <c r="L331" s="389"/>
      <c r="M331" s="389"/>
      <c r="N331" s="389"/>
      <c r="O331" s="389"/>
      <c r="P331" s="389"/>
    </row>
    <row r="332" spans="1:16" ht="19.5" x14ac:dyDescent="0.3">
      <c r="A332" s="390"/>
      <c r="B332" s="391" t="s">
        <v>129</v>
      </c>
      <c r="C332" s="400"/>
      <c r="D332" s="392"/>
      <c r="E332" s="392"/>
      <c r="F332" s="392"/>
      <c r="G332" s="393"/>
      <c r="H332" s="394" t="s">
        <v>33</v>
      </c>
      <c r="I332" s="401">
        <f ca="1">I344</f>
        <v>12140</v>
      </c>
      <c r="J332" s="402">
        <f ca="1">J344+J347+J348+J349+J353</f>
        <v>19788</v>
      </c>
      <c r="K332" s="403">
        <f ca="1">IF(I332&gt;0,J332*100/I332,0)</f>
        <v>162.99835255354202</v>
      </c>
      <c r="L332" s="397"/>
      <c r="M332" s="397"/>
      <c r="N332" s="397"/>
      <c r="O332" s="397"/>
      <c r="P332" s="397"/>
    </row>
    <row r="333" spans="1:16" ht="19.5" x14ac:dyDescent="0.3">
      <c r="A333" s="157"/>
      <c r="B333" s="53"/>
      <c r="C333" s="158" t="s">
        <v>16</v>
      </c>
      <c r="D333" s="159" t="s">
        <v>17</v>
      </c>
      <c r="E333" s="53"/>
      <c r="F333" s="53"/>
      <c r="G333" s="55"/>
      <c r="H333" s="160" t="s">
        <v>12</v>
      </c>
      <c r="I333" s="57"/>
      <c r="J333" s="57"/>
      <c r="K333" s="58"/>
      <c r="L333" s="161">
        <f t="shared" ref="L333:N333" ca="1" si="144">L334+L335</f>
        <v>1752700</v>
      </c>
      <c r="M333" s="161">
        <f t="shared" ca="1" si="144"/>
        <v>1378000</v>
      </c>
      <c r="N333" s="161">
        <f t="shared" ca="1" si="144"/>
        <v>409965.6</v>
      </c>
      <c r="O333" s="161">
        <f t="shared" ref="O333:O341" ca="1" si="145">IF(L333&gt;0,N333*100/L333,0)</f>
        <v>23.390517487305299</v>
      </c>
      <c r="P333" s="161">
        <f t="shared" ref="P333:P341" ca="1" si="146">IF(M333&gt;0,N333*100/M333,0)</f>
        <v>29.75076923076923</v>
      </c>
    </row>
    <row r="334" spans="1:16" ht="18.75" x14ac:dyDescent="0.25">
      <c r="A334" s="157"/>
      <c r="B334" s="53"/>
      <c r="C334" s="53"/>
      <c r="D334" s="53"/>
      <c r="E334" s="60" t="s">
        <v>18</v>
      </c>
      <c r="F334" s="53"/>
      <c r="G334" s="55"/>
      <c r="H334" s="162" t="s">
        <v>12</v>
      </c>
      <c r="I334" s="57"/>
      <c r="J334" s="57"/>
      <c r="K334" s="58"/>
      <c r="L334" s="59">
        <f t="shared" ref="L334:N334" ca="1" si="147">L337+L340</f>
        <v>0</v>
      </c>
      <c r="M334" s="59">
        <f t="shared" ca="1" si="147"/>
        <v>0</v>
      </c>
      <c r="N334" s="59">
        <f t="shared" ca="1" si="147"/>
        <v>0</v>
      </c>
      <c r="O334" s="59">
        <f t="shared" ca="1" si="145"/>
        <v>0</v>
      </c>
      <c r="P334" s="59">
        <f t="shared" ca="1" si="146"/>
        <v>0</v>
      </c>
    </row>
    <row r="335" spans="1:16" ht="18.75" x14ac:dyDescent="0.25">
      <c r="A335" s="157"/>
      <c r="B335" s="53"/>
      <c r="C335" s="53"/>
      <c r="D335" s="53"/>
      <c r="E335" s="60" t="s">
        <v>19</v>
      </c>
      <c r="F335" s="53"/>
      <c r="G335" s="55"/>
      <c r="H335" s="162" t="s">
        <v>12</v>
      </c>
      <c r="I335" s="57"/>
      <c r="J335" s="57"/>
      <c r="K335" s="58"/>
      <c r="L335" s="59">
        <f t="shared" ref="L335:N335" ca="1" si="148">L338+L341</f>
        <v>1752700</v>
      </c>
      <c r="M335" s="59">
        <f t="shared" ca="1" si="148"/>
        <v>1378000</v>
      </c>
      <c r="N335" s="59">
        <f t="shared" ca="1" si="148"/>
        <v>409965.6</v>
      </c>
      <c r="O335" s="59">
        <f t="shared" ca="1" si="145"/>
        <v>23.390517487305299</v>
      </c>
      <c r="P335" s="59">
        <f t="shared" ca="1" si="146"/>
        <v>29.75076923076923</v>
      </c>
    </row>
    <row r="336" spans="1:16" ht="18.75" x14ac:dyDescent="0.25">
      <c r="A336" s="157"/>
      <c r="B336" s="53"/>
      <c r="C336" s="53"/>
      <c r="D336" s="54" t="s">
        <v>20</v>
      </c>
      <c r="E336" s="53"/>
      <c r="F336" s="53"/>
      <c r="G336" s="55"/>
      <c r="H336" s="163" t="s">
        <v>12</v>
      </c>
      <c r="I336" s="164"/>
      <c r="J336" s="164"/>
      <c r="K336" s="165"/>
      <c r="L336" s="59">
        <f t="shared" ref="L336:N336" ca="1" si="149">L337+L338</f>
        <v>1752700</v>
      </c>
      <c r="M336" s="59">
        <f t="shared" ca="1" si="149"/>
        <v>1378000</v>
      </c>
      <c r="N336" s="59">
        <f t="shared" ca="1" si="149"/>
        <v>409965.6</v>
      </c>
      <c r="O336" s="59">
        <f t="shared" ca="1" si="145"/>
        <v>23.390517487305299</v>
      </c>
      <c r="P336" s="59">
        <f t="shared" ca="1" si="146"/>
        <v>29.75076923076923</v>
      </c>
    </row>
    <row r="337" spans="1:16" ht="18.75" x14ac:dyDescent="0.25">
      <c r="A337" s="157"/>
      <c r="B337" s="53"/>
      <c r="C337" s="53"/>
      <c r="D337" s="53"/>
      <c r="E337" s="60" t="s">
        <v>34</v>
      </c>
      <c r="F337" s="53"/>
      <c r="G337" s="55"/>
      <c r="H337" s="163" t="s">
        <v>12</v>
      </c>
      <c r="I337" s="164"/>
      <c r="J337" s="164"/>
      <c r="K337" s="165"/>
      <c r="L337" s="59">
        <f ca="1">IFERROR(__xludf.DUMMYFUNCTION("IMPORTRANGE(""https://docs.google.com/spreadsheets/d/1kKUcYdkIfrgTSj8iHHHB2MD2FAtwyyocFgqGQn6ADyI/edit?usp=sharing"",""กระบี่!L337"")+IMPORTRANGE(""https://docs.google.com/spreadsheets/d/1GwtLaSlNZkLk7iDqcyZz22giiy40b_usZZBXYciEN1U/edit?usp=sharing"",""ชุ"&amp;"มพร!L337"")+IMPORTRANGE(""https://docs.google.com/spreadsheets/d/16pAz3pOhQEZBhvFNMa5KGgZS6iKWpsKX0pg6tQmwFpo/edit?usp=sharing"",""ตรัง!L337"")+IMPORTRANGE(""https://docs.google.com/spreadsheets/d/1Dj4jcHCTV9JXKCaMoheSXS52JE63kDKyG7bPXnFogHk/edit?usp=shar"&amp;"ing"",""นครศรีธรรมราช!L337"")+IMPORTRANGE(""https://docs.google.com/spreadsheets/d/1iodCdmuK2GR3jzUwk8tpccY2JHQQA-87DLOtJP-ooyU/edit?usp=sharing"",""นราธิวาส!L337"")+IMPORTRANGE(""https://docs.google.com/spreadsheets/d/1SDNX3JhDdYRuIOsj0Wh2M-Qa_eaXl0NbWmh"&amp;"AOTbfQAs/edit?usp=sharing"",""ปัตตานี!L337"")+IMPORTRANGE(""https://docs.google.com/spreadsheets/d/16JDLGguT8s5DsGCND1KcwHP_AWR_zDMTqLHPLJUKhaU/edit?usp=sharing"",""พังงา!L337"")+IMPORTRANGE(""https://docs.google.com/spreadsheets/d/17ht0gPKzzT3PObBL1XJkeR"&amp;"mntBXI7wGjpLV7QorqlTk/edit?usp=sharing"",""พัทลุง!L337"")+IMPORTRANGE(""https://docs.google.com/spreadsheets/d/1rd4qoM1q_hsgaolqNGfrim9gbsoLxQsda4-vOz5x_BM/edit?usp=sharing"",""ภูเก็ต!L337"")+IMPORTRANGE(""https://docs.google.com/spreadsheets/d/1woKwKjgoL"&amp;"ssDvPcPeVyezB5izizAn4X1JDrys69n6xI/edit?usp=sharing"",""ยะลา!L337"")+IMPORTRANGE(""https://docs.google.com/spreadsheets/d/1qfrKjzMhm2HJfxQ-qVlJlJQ25Hne1d0khsySbZyGtPA/edit?usp=sharing"",""ระนอง!L337"")+IMPORTRANGE(""https://docs.google.com/spreadsheets/d/"&amp;"1IbSCnFOKpZsnFogBHJnL_isstZVaOMnFiIN0fGTPZZw/edit?usp=sharing"",""สงขลา!L337"")+IMPORTRANGE(""https://docs.google.com/spreadsheets/d/1q9nWasZJ-K8bFGvbE9n0qSRuKGA4Toe3Y89cKCiVtCU/edit?usp=sharing"",""สตูล!L337"")+IMPORTRANGE(""https://docs.google.com/sprea"&amp;"dsheets/d/18T20gbkS_WBjdscyTOV05cvq_JqvqQ17C81mpxf7Ncs/edit?usp=sharing"",""สุราษฎร์ธานี!L337"")"),0)</f>
        <v>0</v>
      </c>
      <c r="M337" s="59">
        <f ca="1">IFERROR(__xludf.DUMMYFUNCTION("IMPORTRANGE(""https://docs.google.com/spreadsheets/d/1kKUcYdkIfrgTSj8iHHHB2MD2FAtwyyocFgqGQn6ADyI/edit?usp=sharing"",""กระบี่!M337"")+IMPORTRANGE(""https://docs.google.com/spreadsheets/d/1GwtLaSlNZkLk7iDqcyZz22giiy40b_usZZBXYciEN1U/edit?usp=sharing"",""ชุ"&amp;"มพร!M337"")+IMPORTRANGE(""https://docs.google.com/spreadsheets/d/16pAz3pOhQEZBhvFNMa5KGgZS6iKWpsKX0pg6tQmwFpo/edit?usp=sharing"",""ตรัง!M337"")+IMPORTRANGE(""https://docs.google.com/spreadsheets/d/1Dj4jcHCTV9JXKCaMoheSXS52JE63kDKyG7bPXnFogHk/edit?usp=shar"&amp;"ing"",""นครศรีธรรมราช!M337"")+IMPORTRANGE(""https://docs.google.com/spreadsheets/d/1iodCdmuK2GR3jzUwk8tpccY2JHQQA-87DLOtJP-ooyU/edit?usp=sharing"",""นราธิวาส!M337"")+IMPORTRANGE(""https://docs.google.com/spreadsheets/d/1SDNX3JhDdYRuIOsj0Wh2M-Qa_eaXl0NbWmh"&amp;"AOTbfQAs/edit?usp=sharing"",""ปัตตานี!M337"")+IMPORTRANGE(""https://docs.google.com/spreadsheets/d/16JDLGguT8s5DsGCND1KcwHP_AWR_zDMTqLHPLJUKhaU/edit?usp=sharing"",""พังงา!M337"")+IMPORTRANGE(""https://docs.google.com/spreadsheets/d/17ht0gPKzzT3PObBL1XJkeR"&amp;"mntBXI7wGjpLV7QorqlTk/edit?usp=sharing"",""พัทลุง!M337"")+IMPORTRANGE(""https://docs.google.com/spreadsheets/d/1rd4qoM1q_hsgaolqNGfrim9gbsoLxQsda4-vOz5x_BM/edit?usp=sharing"",""ภูเก็ต!M337"")+IMPORTRANGE(""https://docs.google.com/spreadsheets/d/1woKwKjgoL"&amp;"ssDvPcPeVyezB5izizAn4X1JDrys69n6xI/edit?usp=sharing"",""ยะลา!M337"")+IMPORTRANGE(""https://docs.google.com/spreadsheets/d/1qfrKjzMhm2HJfxQ-qVlJlJQ25Hne1d0khsySbZyGtPA/edit?usp=sharing"",""ระนอง!M337"")+IMPORTRANGE(""https://docs.google.com/spreadsheets/d/"&amp;"1IbSCnFOKpZsnFogBHJnL_isstZVaOMnFiIN0fGTPZZw/edit?usp=sharing"",""สงขลา!M337"")+IMPORTRANGE(""https://docs.google.com/spreadsheets/d/1q9nWasZJ-K8bFGvbE9n0qSRuKGA4Toe3Y89cKCiVtCU/edit?usp=sharing"",""สตูล!M337"")+IMPORTRANGE(""https://docs.google.com/sprea"&amp;"dsheets/d/18T20gbkS_WBjdscyTOV05cvq_JqvqQ17C81mpxf7Ncs/edit?usp=sharing"",""สุราษฎร์ธานี!M337"")"),0)</f>
        <v>0</v>
      </c>
      <c r="N337" s="59">
        <f ca="1">IFERROR(__xludf.DUMMYFUNCTION("IMPORTRANGE(""https://docs.google.com/spreadsheets/d/1kKUcYdkIfrgTSj8iHHHB2MD2FAtwyyocFgqGQn6ADyI/edit?usp=sharing"",""กระบี่!N337"")+IMPORTRANGE(""https://docs.google.com/spreadsheets/d/1GwtLaSlNZkLk7iDqcyZz22giiy40b_usZZBXYciEN1U/edit?usp=sharing"",""ชุ"&amp;"มพร!N337"")+IMPORTRANGE(""https://docs.google.com/spreadsheets/d/16pAz3pOhQEZBhvFNMa5KGgZS6iKWpsKX0pg6tQmwFpo/edit?usp=sharing"",""ตรัง!N337"")+IMPORTRANGE(""https://docs.google.com/spreadsheets/d/1Dj4jcHCTV9JXKCaMoheSXS52JE63kDKyG7bPXnFogHk/edit?usp=shar"&amp;"ing"",""นครศรีธรรมราช!N337"")+IMPORTRANGE(""https://docs.google.com/spreadsheets/d/1iodCdmuK2GR3jzUwk8tpccY2JHQQA-87DLOtJP-ooyU/edit?usp=sharing"",""นราธิวาส!N337"")+IMPORTRANGE(""https://docs.google.com/spreadsheets/d/1SDNX3JhDdYRuIOsj0Wh2M-Qa_eaXl0NbWmh"&amp;"AOTbfQAs/edit?usp=sharing"",""ปัตตานี!N337"")+IMPORTRANGE(""https://docs.google.com/spreadsheets/d/16JDLGguT8s5DsGCND1KcwHP_AWR_zDMTqLHPLJUKhaU/edit?usp=sharing"",""พังงา!N337"")+IMPORTRANGE(""https://docs.google.com/spreadsheets/d/17ht0gPKzzT3PObBL1XJkeR"&amp;"mntBXI7wGjpLV7QorqlTk/edit?usp=sharing"",""พัทลุง!N337"")+IMPORTRANGE(""https://docs.google.com/spreadsheets/d/1rd4qoM1q_hsgaolqNGfrim9gbsoLxQsda4-vOz5x_BM/edit?usp=sharing"",""ภูเก็ต!N337"")+IMPORTRANGE(""https://docs.google.com/spreadsheets/d/1woKwKjgoL"&amp;"ssDvPcPeVyezB5izizAn4X1JDrys69n6xI/edit?usp=sharing"",""ยะลา!N337"")+IMPORTRANGE(""https://docs.google.com/spreadsheets/d/1qfrKjzMhm2HJfxQ-qVlJlJQ25Hne1d0khsySbZyGtPA/edit?usp=sharing"",""ระนอง!N337"")+IMPORTRANGE(""https://docs.google.com/spreadsheets/d/"&amp;"1IbSCnFOKpZsnFogBHJnL_isstZVaOMnFiIN0fGTPZZw/edit?usp=sharing"",""สงขลา!N337"")+IMPORTRANGE(""https://docs.google.com/spreadsheets/d/1q9nWasZJ-K8bFGvbE9n0qSRuKGA4Toe3Y89cKCiVtCU/edit?usp=sharing"",""สตูล!N337"")+IMPORTRANGE(""https://docs.google.com/sprea"&amp;"dsheets/d/18T20gbkS_WBjdscyTOV05cvq_JqvqQ17C81mpxf7Ncs/edit?usp=sharing"",""สุราษฎร์ธานี!N337"")"),0)</f>
        <v>0</v>
      </c>
      <c r="O337" s="59">
        <f t="shared" ca="1" si="145"/>
        <v>0</v>
      </c>
      <c r="P337" s="59">
        <f t="shared" ca="1" si="146"/>
        <v>0</v>
      </c>
    </row>
    <row r="338" spans="1:16" ht="18.75" x14ac:dyDescent="0.25">
      <c r="A338" s="157"/>
      <c r="B338" s="53"/>
      <c r="C338" s="53"/>
      <c r="D338" s="53"/>
      <c r="E338" s="60" t="s">
        <v>35</v>
      </c>
      <c r="F338" s="53"/>
      <c r="G338" s="55"/>
      <c r="H338" s="163" t="s">
        <v>12</v>
      </c>
      <c r="I338" s="164"/>
      <c r="J338" s="164"/>
      <c r="K338" s="165"/>
      <c r="L338" s="59">
        <f ca="1">IFERROR(__xludf.DUMMYFUNCTION("IMPORTRANGE(""https://docs.google.com/spreadsheets/d/1kKUcYdkIfrgTSj8iHHHB2MD2FAtwyyocFgqGQn6ADyI/edit?usp=sharing"",""กระบี่!L338"")+IMPORTRANGE(""https://docs.google.com/spreadsheets/d/1GwtLaSlNZkLk7iDqcyZz22giiy40b_usZZBXYciEN1U/edit?usp=sharing"",""ชุ"&amp;"มพร!L338"")+IMPORTRANGE(""https://docs.google.com/spreadsheets/d/16pAz3pOhQEZBhvFNMa5KGgZS6iKWpsKX0pg6tQmwFpo/edit?usp=sharing"",""ตรัง!L338"")+IMPORTRANGE(""https://docs.google.com/spreadsheets/d/1Dj4jcHCTV9JXKCaMoheSXS52JE63kDKyG7bPXnFogHk/edit?usp=shar"&amp;"ing"",""นครศรีธรรมราช!L338"")+IMPORTRANGE(""https://docs.google.com/spreadsheets/d/1iodCdmuK2GR3jzUwk8tpccY2JHQQA-87DLOtJP-ooyU/edit?usp=sharing"",""นราธิวาส!L338"")+IMPORTRANGE(""https://docs.google.com/spreadsheets/d/1SDNX3JhDdYRuIOsj0Wh2M-Qa_eaXl0NbWmh"&amp;"AOTbfQAs/edit?usp=sharing"",""ปัตตานี!L338"")+IMPORTRANGE(""https://docs.google.com/spreadsheets/d/16JDLGguT8s5DsGCND1KcwHP_AWR_zDMTqLHPLJUKhaU/edit?usp=sharing"",""พังงา!L338"")+IMPORTRANGE(""https://docs.google.com/spreadsheets/d/17ht0gPKzzT3PObBL1XJkeR"&amp;"mntBXI7wGjpLV7QorqlTk/edit?usp=sharing"",""พัทลุง!L338"")+IMPORTRANGE(""https://docs.google.com/spreadsheets/d/1rd4qoM1q_hsgaolqNGfrim9gbsoLxQsda4-vOz5x_BM/edit?usp=sharing"",""ภูเก็ต!L338"")+IMPORTRANGE(""https://docs.google.com/spreadsheets/d/1woKwKjgoL"&amp;"ssDvPcPeVyezB5izizAn4X1JDrys69n6xI/edit?usp=sharing"",""ยะลา!L338"")+IMPORTRANGE(""https://docs.google.com/spreadsheets/d/1qfrKjzMhm2HJfxQ-qVlJlJQ25Hne1d0khsySbZyGtPA/edit?usp=sharing"",""ระนอง!L338"")+IMPORTRANGE(""https://docs.google.com/spreadsheets/d/"&amp;"1IbSCnFOKpZsnFogBHJnL_isstZVaOMnFiIN0fGTPZZw/edit?usp=sharing"",""สงขลา!L338"")+IMPORTRANGE(""https://docs.google.com/spreadsheets/d/1q9nWasZJ-K8bFGvbE9n0qSRuKGA4Toe3Y89cKCiVtCU/edit?usp=sharing"",""สตูล!L338"")+IMPORTRANGE(""https://docs.google.com/sprea"&amp;"dsheets/d/18T20gbkS_WBjdscyTOV05cvq_JqvqQ17C81mpxf7Ncs/edit?usp=sharing"",""สุราษฎร์ธานี!L338"")"),1752700)</f>
        <v>1752700</v>
      </c>
      <c r="M338" s="59">
        <f ca="1">IFERROR(__xludf.DUMMYFUNCTION("IMPORTRANGE(""https://docs.google.com/spreadsheets/d/1kKUcYdkIfrgTSj8iHHHB2MD2FAtwyyocFgqGQn6ADyI/edit?usp=sharing"",""กระบี่!M338"")+IMPORTRANGE(""https://docs.google.com/spreadsheets/d/1GwtLaSlNZkLk7iDqcyZz22giiy40b_usZZBXYciEN1U/edit?usp=sharing"",""ชุ"&amp;"มพร!M338"")+IMPORTRANGE(""https://docs.google.com/spreadsheets/d/16pAz3pOhQEZBhvFNMa5KGgZS6iKWpsKX0pg6tQmwFpo/edit?usp=sharing"",""ตรัง!M338"")+IMPORTRANGE(""https://docs.google.com/spreadsheets/d/1Dj4jcHCTV9JXKCaMoheSXS52JE63kDKyG7bPXnFogHk/edit?usp=shar"&amp;"ing"",""นครศรีธรรมราช!M338"")+IMPORTRANGE(""https://docs.google.com/spreadsheets/d/1iodCdmuK2GR3jzUwk8tpccY2JHQQA-87DLOtJP-ooyU/edit?usp=sharing"",""นราธิวาส!M338"")+IMPORTRANGE(""https://docs.google.com/spreadsheets/d/1SDNX3JhDdYRuIOsj0Wh2M-Qa_eaXl0NbWmh"&amp;"AOTbfQAs/edit?usp=sharing"",""ปัตตานี!M338"")+IMPORTRANGE(""https://docs.google.com/spreadsheets/d/16JDLGguT8s5DsGCND1KcwHP_AWR_zDMTqLHPLJUKhaU/edit?usp=sharing"",""พังงา!M338"")+IMPORTRANGE(""https://docs.google.com/spreadsheets/d/17ht0gPKzzT3PObBL1XJkeR"&amp;"mntBXI7wGjpLV7QorqlTk/edit?usp=sharing"",""พัทลุง!M338"")+IMPORTRANGE(""https://docs.google.com/spreadsheets/d/1rd4qoM1q_hsgaolqNGfrim9gbsoLxQsda4-vOz5x_BM/edit?usp=sharing"",""ภูเก็ต!M338"")+IMPORTRANGE(""https://docs.google.com/spreadsheets/d/1woKwKjgoL"&amp;"ssDvPcPeVyezB5izizAn4X1JDrys69n6xI/edit?usp=sharing"",""ยะลา!M338"")+IMPORTRANGE(""https://docs.google.com/spreadsheets/d/1qfrKjzMhm2HJfxQ-qVlJlJQ25Hne1d0khsySbZyGtPA/edit?usp=sharing"",""ระนอง!M338"")+IMPORTRANGE(""https://docs.google.com/spreadsheets/d/"&amp;"1IbSCnFOKpZsnFogBHJnL_isstZVaOMnFiIN0fGTPZZw/edit?usp=sharing"",""สงขลา!M338"")+IMPORTRANGE(""https://docs.google.com/spreadsheets/d/1q9nWasZJ-K8bFGvbE9n0qSRuKGA4Toe3Y89cKCiVtCU/edit?usp=sharing"",""สตูล!M338"")+IMPORTRANGE(""https://docs.google.com/sprea"&amp;"dsheets/d/18T20gbkS_WBjdscyTOV05cvq_JqvqQ17C81mpxf7Ncs/edit?usp=sharing"",""สุราษฎร์ธานี!M338"")"),1378000)</f>
        <v>1378000</v>
      </c>
      <c r="N338" s="59">
        <f ca="1">IFERROR(__xludf.DUMMYFUNCTION("IMPORTRANGE(""https://docs.google.com/spreadsheets/d/1kKUcYdkIfrgTSj8iHHHB2MD2FAtwyyocFgqGQn6ADyI/edit?usp=sharing"",""กระบี่!N338"")+IMPORTRANGE(""https://docs.google.com/spreadsheets/d/1GwtLaSlNZkLk7iDqcyZz22giiy40b_usZZBXYciEN1U/edit?usp=sharing"",""ชุ"&amp;"มพร!N338"")+IMPORTRANGE(""https://docs.google.com/spreadsheets/d/16pAz3pOhQEZBhvFNMa5KGgZS6iKWpsKX0pg6tQmwFpo/edit?usp=sharing"",""ตรัง!N338"")+IMPORTRANGE(""https://docs.google.com/spreadsheets/d/1Dj4jcHCTV9JXKCaMoheSXS52JE63kDKyG7bPXnFogHk/edit?usp=shar"&amp;"ing"",""นครศรีธรรมราช!N338"")+IMPORTRANGE(""https://docs.google.com/spreadsheets/d/1iodCdmuK2GR3jzUwk8tpccY2JHQQA-87DLOtJP-ooyU/edit?usp=sharing"",""นราธิวาส!N338"")+IMPORTRANGE(""https://docs.google.com/spreadsheets/d/1SDNX3JhDdYRuIOsj0Wh2M-Qa_eaXl0NbWmh"&amp;"AOTbfQAs/edit?usp=sharing"",""ปัตตานี!N338"")+IMPORTRANGE(""https://docs.google.com/spreadsheets/d/16JDLGguT8s5DsGCND1KcwHP_AWR_zDMTqLHPLJUKhaU/edit?usp=sharing"",""พังงา!N338"")+IMPORTRANGE(""https://docs.google.com/spreadsheets/d/17ht0gPKzzT3PObBL1XJkeR"&amp;"mntBXI7wGjpLV7QorqlTk/edit?usp=sharing"",""พัทลุง!N338"")+IMPORTRANGE(""https://docs.google.com/spreadsheets/d/1rd4qoM1q_hsgaolqNGfrim9gbsoLxQsda4-vOz5x_BM/edit?usp=sharing"",""ภูเก็ต!N338"")+IMPORTRANGE(""https://docs.google.com/spreadsheets/d/1woKwKjgoL"&amp;"ssDvPcPeVyezB5izizAn4X1JDrys69n6xI/edit?usp=sharing"",""ยะลา!N338"")+IMPORTRANGE(""https://docs.google.com/spreadsheets/d/1qfrKjzMhm2HJfxQ-qVlJlJQ25Hne1d0khsySbZyGtPA/edit?usp=sharing"",""ระนอง!N338"")+IMPORTRANGE(""https://docs.google.com/spreadsheets/d/"&amp;"1IbSCnFOKpZsnFogBHJnL_isstZVaOMnFiIN0fGTPZZw/edit?usp=sharing"",""สงขลา!N338"")+IMPORTRANGE(""https://docs.google.com/spreadsheets/d/1q9nWasZJ-K8bFGvbE9n0qSRuKGA4Toe3Y89cKCiVtCU/edit?usp=sharing"",""สตูล!N338"")+IMPORTRANGE(""https://docs.google.com/sprea"&amp;"dsheets/d/18T20gbkS_WBjdscyTOV05cvq_JqvqQ17C81mpxf7Ncs/edit?usp=sharing"",""สุราษฎร์ธานี!N338"")"),409965.6)</f>
        <v>409965.6</v>
      </c>
      <c r="O338" s="59">
        <f t="shared" ca="1" si="145"/>
        <v>23.390517487305299</v>
      </c>
      <c r="P338" s="59">
        <f t="shared" ca="1" si="146"/>
        <v>29.75076923076923</v>
      </c>
    </row>
    <row r="339" spans="1:16" ht="18.75" x14ac:dyDescent="0.25">
      <c r="A339" s="157"/>
      <c r="B339" s="53"/>
      <c r="C339" s="53"/>
      <c r="D339" s="54" t="s">
        <v>21</v>
      </c>
      <c r="E339" s="53"/>
      <c r="F339" s="53"/>
      <c r="G339" s="55"/>
      <c r="H339" s="166" t="s">
        <v>12</v>
      </c>
      <c r="I339" s="164"/>
      <c r="J339" s="164"/>
      <c r="K339" s="165"/>
      <c r="L339" s="59">
        <f t="shared" ref="L339:N339" ca="1" si="150">L340+L341</f>
        <v>0</v>
      </c>
      <c r="M339" s="59">
        <f t="shared" ca="1" si="150"/>
        <v>0</v>
      </c>
      <c r="N339" s="59">
        <f t="shared" ca="1" si="150"/>
        <v>0</v>
      </c>
      <c r="O339" s="59">
        <f t="shared" ca="1" si="145"/>
        <v>0</v>
      </c>
      <c r="P339" s="59">
        <f t="shared" ca="1" si="146"/>
        <v>0</v>
      </c>
    </row>
    <row r="340" spans="1:16" ht="18.75" x14ac:dyDescent="0.25">
      <c r="A340" s="157"/>
      <c r="B340" s="53"/>
      <c r="C340" s="53"/>
      <c r="D340" s="53"/>
      <c r="E340" s="60" t="s">
        <v>18</v>
      </c>
      <c r="F340" s="53"/>
      <c r="G340" s="55"/>
      <c r="H340" s="163" t="s">
        <v>12</v>
      </c>
      <c r="I340" s="164"/>
      <c r="J340" s="164"/>
      <c r="K340" s="165"/>
      <c r="L340" s="59">
        <f ca="1">IFERROR(__xludf.DUMMYFUNCTION("IMPORTRANGE(""https://docs.google.com/spreadsheets/d/1kKUcYdkIfrgTSj8iHHHB2MD2FAtwyyocFgqGQn6ADyI/edit?usp=sharing"",""กระบี่!L340"")+IMPORTRANGE(""https://docs.google.com/spreadsheets/d/1GwtLaSlNZkLk7iDqcyZz22giiy40b_usZZBXYciEN1U/edit?usp=sharing"",""ชุ"&amp;"มพร!L340"")+IMPORTRANGE(""https://docs.google.com/spreadsheets/d/16pAz3pOhQEZBhvFNMa5KGgZS6iKWpsKX0pg6tQmwFpo/edit?usp=sharing"",""ตรัง!L340"")+IMPORTRANGE(""https://docs.google.com/spreadsheets/d/1Dj4jcHCTV9JXKCaMoheSXS52JE63kDKyG7bPXnFogHk/edit?usp=shar"&amp;"ing"",""นครศรีธรรมราช!L340"")+IMPORTRANGE(""https://docs.google.com/spreadsheets/d/1iodCdmuK2GR3jzUwk8tpccY2JHQQA-87DLOtJP-ooyU/edit?usp=sharing"",""นราธิวาส!L340"")+IMPORTRANGE(""https://docs.google.com/spreadsheets/d/1SDNX3JhDdYRuIOsj0Wh2M-Qa_eaXl0NbWmh"&amp;"AOTbfQAs/edit?usp=sharing"",""ปัตตานี!L340"")+IMPORTRANGE(""https://docs.google.com/spreadsheets/d/16JDLGguT8s5DsGCND1KcwHP_AWR_zDMTqLHPLJUKhaU/edit?usp=sharing"",""พังงา!L340"")+IMPORTRANGE(""https://docs.google.com/spreadsheets/d/17ht0gPKzzT3PObBL1XJkeR"&amp;"mntBXI7wGjpLV7QorqlTk/edit?usp=sharing"",""พัทลุง!L340"")+IMPORTRANGE(""https://docs.google.com/spreadsheets/d/1rd4qoM1q_hsgaolqNGfrim9gbsoLxQsda4-vOz5x_BM/edit?usp=sharing"",""ภูเก็ต!L340"")+IMPORTRANGE(""https://docs.google.com/spreadsheets/d/1woKwKjgoL"&amp;"ssDvPcPeVyezB5izizAn4X1JDrys69n6xI/edit?usp=sharing"",""ยะลา!L340"")+IMPORTRANGE(""https://docs.google.com/spreadsheets/d/1qfrKjzMhm2HJfxQ-qVlJlJQ25Hne1d0khsySbZyGtPA/edit?usp=sharing"",""ระนอง!L340"")+IMPORTRANGE(""https://docs.google.com/spreadsheets/d/"&amp;"1IbSCnFOKpZsnFogBHJnL_isstZVaOMnFiIN0fGTPZZw/edit?usp=sharing"",""สงขลา!L340"")+IMPORTRANGE(""https://docs.google.com/spreadsheets/d/1q9nWasZJ-K8bFGvbE9n0qSRuKGA4Toe3Y89cKCiVtCU/edit?usp=sharing"",""สตูล!L340"")+IMPORTRANGE(""https://docs.google.com/sprea"&amp;"dsheets/d/18T20gbkS_WBjdscyTOV05cvq_JqvqQ17C81mpxf7Ncs/edit?usp=sharing"",""สุราษฎร์ธานี!L340"")"),0)</f>
        <v>0</v>
      </c>
      <c r="M340" s="59">
        <f ca="1">IFERROR(__xludf.DUMMYFUNCTION("IMPORTRANGE(""https://docs.google.com/spreadsheets/d/1kKUcYdkIfrgTSj8iHHHB2MD2FAtwyyocFgqGQn6ADyI/edit?usp=sharing"",""กระบี่!M340"")+IMPORTRANGE(""https://docs.google.com/spreadsheets/d/1GwtLaSlNZkLk7iDqcyZz22giiy40b_usZZBXYciEN1U/edit?usp=sharing"",""ชุ"&amp;"มพร!M340"")+IMPORTRANGE(""https://docs.google.com/spreadsheets/d/16pAz3pOhQEZBhvFNMa5KGgZS6iKWpsKX0pg6tQmwFpo/edit?usp=sharing"",""ตรัง!M340"")+IMPORTRANGE(""https://docs.google.com/spreadsheets/d/1Dj4jcHCTV9JXKCaMoheSXS52JE63kDKyG7bPXnFogHk/edit?usp=shar"&amp;"ing"",""นครศรีธรรมราช!M340"")+IMPORTRANGE(""https://docs.google.com/spreadsheets/d/1iodCdmuK2GR3jzUwk8tpccY2JHQQA-87DLOtJP-ooyU/edit?usp=sharing"",""นราธิวาส!M340"")+IMPORTRANGE(""https://docs.google.com/spreadsheets/d/1SDNX3JhDdYRuIOsj0Wh2M-Qa_eaXl0NbWmh"&amp;"AOTbfQAs/edit?usp=sharing"",""ปัตตานี!M340"")+IMPORTRANGE(""https://docs.google.com/spreadsheets/d/16JDLGguT8s5DsGCND1KcwHP_AWR_zDMTqLHPLJUKhaU/edit?usp=sharing"",""พังงา!M340"")+IMPORTRANGE(""https://docs.google.com/spreadsheets/d/17ht0gPKzzT3PObBL1XJkeR"&amp;"mntBXI7wGjpLV7QorqlTk/edit?usp=sharing"",""พัทลุง!M340"")+IMPORTRANGE(""https://docs.google.com/spreadsheets/d/1rd4qoM1q_hsgaolqNGfrim9gbsoLxQsda4-vOz5x_BM/edit?usp=sharing"",""ภูเก็ต!M340"")+IMPORTRANGE(""https://docs.google.com/spreadsheets/d/1woKwKjgoL"&amp;"ssDvPcPeVyezB5izizAn4X1JDrys69n6xI/edit?usp=sharing"",""ยะลา!M340"")+IMPORTRANGE(""https://docs.google.com/spreadsheets/d/1qfrKjzMhm2HJfxQ-qVlJlJQ25Hne1d0khsySbZyGtPA/edit?usp=sharing"",""ระนอง!M340"")+IMPORTRANGE(""https://docs.google.com/spreadsheets/d/"&amp;"1IbSCnFOKpZsnFogBHJnL_isstZVaOMnFiIN0fGTPZZw/edit?usp=sharing"",""สงขลา!M340"")+IMPORTRANGE(""https://docs.google.com/spreadsheets/d/1q9nWasZJ-K8bFGvbE9n0qSRuKGA4Toe3Y89cKCiVtCU/edit?usp=sharing"",""สตูล!M340"")+IMPORTRANGE(""https://docs.google.com/sprea"&amp;"dsheets/d/18T20gbkS_WBjdscyTOV05cvq_JqvqQ17C81mpxf7Ncs/edit?usp=sharing"",""สุราษฎร์ธานี!M340"")"),0)</f>
        <v>0</v>
      </c>
      <c r="N340" s="59">
        <f ca="1">IFERROR(__xludf.DUMMYFUNCTION("IMPORTRANGE(""https://docs.google.com/spreadsheets/d/1kKUcYdkIfrgTSj8iHHHB2MD2FAtwyyocFgqGQn6ADyI/edit?usp=sharing"",""กระบี่!N340"")+IMPORTRANGE(""https://docs.google.com/spreadsheets/d/1GwtLaSlNZkLk7iDqcyZz22giiy40b_usZZBXYciEN1U/edit?usp=sharing"",""ชุ"&amp;"มพร!N340"")+IMPORTRANGE(""https://docs.google.com/spreadsheets/d/16pAz3pOhQEZBhvFNMa5KGgZS6iKWpsKX0pg6tQmwFpo/edit?usp=sharing"",""ตรัง!N340"")+IMPORTRANGE(""https://docs.google.com/spreadsheets/d/1Dj4jcHCTV9JXKCaMoheSXS52JE63kDKyG7bPXnFogHk/edit?usp=shar"&amp;"ing"",""นครศรีธรรมราช!N340"")+IMPORTRANGE(""https://docs.google.com/spreadsheets/d/1iodCdmuK2GR3jzUwk8tpccY2JHQQA-87DLOtJP-ooyU/edit?usp=sharing"",""นราธิวาส!N340"")+IMPORTRANGE(""https://docs.google.com/spreadsheets/d/1SDNX3JhDdYRuIOsj0Wh2M-Qa_eaXl0NbWmh"&amp;"AOTbfQAs/edit?usp=sharing"",""ปัตตานี!N340"")+IMPORTRANGE(""https://docs.google.com/spreadsheets/d/16JDLGguT8s5DsGCND1KcwHP_AWR_zDMTqLHPLJUKhaU/edit?usp=sharing"",""พังงา!N340"")+IMPORTRANGE(""https://docs.google.com/spreadsheets/d/17ht0gPKzzT3PObBL1XJkeR"&amp;"mntBXI7wGjpLV7QorqlTk/edit?usp=sharing"",""พัทลุง!N340"")+IMPORTRANGE(""https://docs.google.com/spreadsheets/d/1rd4qoM1q_hsgaolqNGfrim9gbsoLxQsda4-vOz5x_BM/edit?usp=sharing"",""ภูเก็ต!N340"")+IMPORTRANGE(""https://docs.google.com/spreadsheets/d/1woKwKjgoL"&amp;"ssDvPcPeVyezB5izizAn4X1JDrys69n6xI/edit?usp=sharing"",""ยะลา!N340"")+IMPORTRANGE(""https://docs.google.com/spreadsheets/d/1qfrKjzMhm2HJfxQ-qVlJlJQ25Hne1d0khsySbZyGtPA/edit?usp=sharing"",""ระนอง!N340"")+IMPORTRANGE(""https://docs.google.com/spreadsheets/d/"&amp;"1IbSCnFOKpZsnFogBHJnL_isstZVaOMnFiIN0fGTPZZw/edit?usp=sharing"",""สงขลา!N340"")+IMPORTRANGE(""https://docs.google.com/spreadsheets/d/1q9nWasZJ-K8bFGvbE9n0qSRuKGA4Toe3Y89cKCiVtCU/edit?usp=sharing"",""สตูล!N340"")+IMPORTRANGE(""https://docs.google.com/sprea"&amp;"dsheets/d/18T20gbkS_WBjdscyTOV05cvq_JqvqQ17C81mpxf7Ncs/edit?usp=sharing"",""สุราษฎร์ธานี!N340"")"),0)</f>
        <v>0</v>
      </c>
      <c r="O340" s="59">
        <f t="shared" ca="1" si="145"/>
        <v>0</v>
      </c>
      <c r="P340" s="59">
        <f t="shared" ca="1" si="146"/>
        <v>0</v>
      </c>
    </row>
    <row r="341" spans="1:16" ht="18.75" x14ac:dyDescent="0.25">
      <c r="A341" s="157"/>
      <c r="B341" s="53"/>
      <c r="C341" s="53"/>
      <c r="D341" s="53"/>
      <c r="E341" s="60" t="s">
        <v>19</v>
      </c>
      <c r="F341" s="53"/>
      <c r="G341" s="55"/>
      <c r="H341" s="166" t="s">
        <v>12</v>
      </c>
      <c r="I341" s="164"/>
      <c r="J341" s="164"/>
      <c r="K341" s="165"/>
      <c r="L341" s="59">
        <f ca="1">IFERROR(__xludf.DUMMYFUNCTION("IMPORTRANGE(""https://docs.google.com/spreadsheets/d/1kKUcYdkIfrgTSj8iHHHB2MD2FAtwyyocFgqGQn6ADyI/edit?usp=sharing"",""กระบี่!L341"")+IMPORTRANGE(""https://docs.google.com/spreadsheets/d/1GwtLaSlNZkLk7iDqcyZz22giiy40b_usZZBXYciEN1U/edit?usp=sharing"",""ชุ"&amp;"มพร!L341"")+IMPORTRANGE(""https://docs.google.com/spreadsheets/d/16pAz3pOhQEZBhvFNMa5KGgZS6iKWpsKX0pg6tQmwFpo/edit?usp=sharing"",""ตรัง!L341"")+IMPORTRANGE(""https://docs.google.com/spreadsheets/d/1Dj4jcHCTV9JXKCaMoheSXS52JE63kDKyG7bPXnFogHk/edit?usp=shar"&amp;"ing"",""นครศรีธรรมราช!L341"")+IMPORTRANGE(""https://docs.google.com/spreadsheets/d/1iodCdmuK2GR3jzUwk8tpccY2JHQQA-87DLOtJP-ooyU/edit?usp=sharing"",""นราธิวาส!L341"")+IMPORTRANGE(""https://docs.google.com/spreadsheets/d/1SDNX3JhDdYRuIOsj0Wh2M-Qa_eaXl0NbWmh"&amp;"AOTbfQAs/edit?usp=sharing"",""ปัตตานี!L341"")+IMPORTRANGE(""https://docs.google.com/spreadsheets/d/16JDLGguT8s5DsGCND1KcwHP_AWR_zDMTqLHPLJUKhaU/edit?usp=sharing"",""พังงา!L341"")+IMPORTRANGE(""https://docs.google.com/spreadsheets/d/17ht0gPKzzT3PObBL1XJkeR"&amp;"mntBXI7wGjpLV7QorqlTk/edit?usp=sharing"",""พัทลุง!L341"")+IMPORTRANGE(""https://docs.google.com/spreadsheets/d/1rd4qoM1q_hsgaolqNGfrim9gbsoLxQsda4-vOz5x_BM/edit?usp=sharing"",""ภูเก็ต!L341"")+IMPORTRANGE(""https://docs.google.com/spreadsheets/d/1woKwKjgoL"&amp;"ssDvPcPeVyezB5izizAn4X1JDrys69n6xI/edit?usp=sharing"",""ยะลา!L341"")+IMPORTRANGE(""https://docs.google.com/spreadsheets/d/1qfrKjzMhm2HJfxQ-qVlJlJQ25Hne1d0khsySbZyGtPA/edit?usp=sharing"",""ระนอง!L341"")+IMPORTRANGE(""https://docs.google.com/spreadsheets/d/"&amp;"1IbSCnFOKpZsnFogBHJnL_isstZVaOMnFiIN0fGTPZZw/edit?usp=sharing"",""สงขลา!L341"")+IMPORTRANGE(""https://docs.google.com/spreadsheets/d/1q9nWasZJ-K8bFGvbE9n0qSRuKGA4Toe3Y89cKCiVtCU/edit?usp=sharing"",""สตูล!L341"")+IMPORTRANGE(""https://docs.google.com/sprea"&amp;"dsheets/d/18T20gbkS_WBjdscyTOV05cvq_JqvqQ17C81mpxf7Ncs/edit?usp=sharing"",""สุราษฎร์ธานี!L341"")"),0)</f>
        <v>0</v>
      </c>
      <c r="M341" s="59">
        <f ca="1">IFERROR(__xludf.DUMMYFUNCTION("IMPORTRANGE(""https://docs.google.com/spreadsheets/d/1kKUcYdkIfrgTSj8iHHHB2MD2FAtwyyocFgqGQn6ADyI/edit?usp=sharing"",""กระบี่!M341"")+IMPORTRANGE(""https://docs.google.com/spreadsheets/d/1GwtLaSlNZkLk7iDqcyZz22giiy40b_usZZBXYciEN1U/edit?usp=sharing"",""ชุ"&amp;"มพร!M341"")+IMPORTRANGE(""https://docs.google.com/spreadsheets/d/16pAz3pOhQEZBhvFNMa5KGgZS6iKWpsKX0pg6tQmwFpo/edit?usp=sharing"",""ตรัง!M341"")+IMPORTRANGE(""https://docs.google.com/spreadsheets/d/1Dj4jcHCTV9JXKCaMoheSXS52JE63kDKyG7bPXnFogHk/edit?usp=shar"&amp;"ing"",""นครศรีธรรมราช!M341"")+IMPORTRANGE(""https://docs.google.com/spreadsheets/d/1iodCdmuK2GR3jzUwk8tpccY2JHQQA-87DLOtJP-ooyU/edit?usp=sharing"",""นราธิวาส!M341"")+IMPORTRANGE(""https://docs.google.com/spreadsheets/d/1SDNX3JhDdYRuIOsj0Wh2M-Qa_eaXl0NbWmh"&amp;"AOTbfQAs/edit?usp=sharing"",""ปัตตานี!M341"")+IMPORTRANGE(""https://docs.google.com/spreadsheets/d/16JDLGguT8s5DsGCND1KcwHP_AWR_zDMTqLHPLJUKhaU/edit?usp=sharing"",""พังงา!M341"")+IMPORTRANGE(""https://docs.google.com/spreadsheets/d/17ht0gPKzzT3PObBL1XJkeR"&amp;"mntBXI7wGjpLV7QorqlTk/edit?usp=sharing"",""พัทลุง!M341"")+IMPORTRANGE(""https://docs.google.com/spreadsheets/d/1rd4qoM1q_hsgaolqNGfrim9gbsoLxQsda4-vOz5x_BM/edit?usp=sharing"",""ภูเก็ต!M341"")+IMPORTRANGE(""https://docs.google.com/spreadsheets/d/1woKwKjgoL"&amp;"ssDvPcPeVyezB5izizAn4X1JDrys69n6xI/edit?usp=sharing"",""ยะลา!M341"")+IMPORTRANGE(""https://docs.google.com/spreadsheets/d/1qfrKjzMhm2HJfxQ-qVlJlJQ25Hne1d0khsySbZyGtPA/edit?usp=sharing"",""ระนอง!M341"")+IMPORTRANGE(""https://docs.google.com/spreadsheets/d/"&amp;"1IbSCnFOKpZsnFogBHJnL_isstZVaOMnFiIN0fGTPZZw/edit?usp=sharing"",""สงขลา!M341"")+IMPORTRANGE(""https://docs.google.com/spreadsheets/d/1q9nWasZJ-K8bFGvbE9n0qSRuKGA4Toe3Y89cKCiVtCU/edit?usp=sharing"",""สตูล!M341"")+IMPORTRANGE(""https://docs.google.com/sprea"&amp;"dsheets/d/18T20gbkS_WBjdscyTOV05cvq_JqvqQ17C81mpxf7Ncs/edit?usp=sharing"",""สุราษฎร์ธานี!M341"")"),0)</f>
        <v>0</v>
      </c>
      <c r="N341" s="59">
        <f ca="1">IFERROR(__xludf.DUMMYFUNCTION("IMPORTRANGE(""https://docs.google.com/spreadsheets/d/1kKUcYdkIfrgTSj8iHHHB2MD2FAtwyyocFgqGQn6ADyI/edit?usp=sharing"",""กระบี่!N341"")+IMPORTRANGE(""https://docs.google.com/spreadsheets/d/1GwtLaSlNZkLk7iDqcyZz22giiy40b_usZZBXYciEN1U/edit?usp=sharing"",""ชุ"&amp;"มพร!N341"")+IMPORTRANGE(""https://docs.google.com/spreadsheets/d/16pAz3pOhQEZBhvFNMa5KGgZS6iKWpsKX0pg6tQmwFpo/edit?usp=sharing"",""ตรัง!N341"")+IMPORTRANGE(""https://docs.google.com/spreadsheets/d/1Dj4jcHCTV9JXKCaMoheSXS52JE63kDKyG7bPXnFogHk/edit?usp=shar"&amp;"ing"",""นครศรีธรรมราช!N341"")+IMPORTRANGE(""https://docs.google.com/spreadsheets/d/1iodCdmuK2GR3jzUwk8tpccY2JHQQA-87DLOtJP-ooyU/edit?usp=sharing"",""นราธิวาส!N341"")+IMPORTRANGE(""https://docs.google.com/spreadsheets/d/1SDNX3JhDdYRuIOsj0Wh2M-Qa_eaXl0NbWmh"&amp;"AOTbfQAs/edit?usp=sharing"",""ปัตตานี!N341"")+IMPORTRANGE(""https://docs.google.com/spreadsheets/d/16JDLGguT8s5DsGCND1KcwHP_AWR_zDMTqLHPLJUKhaU/edit?usp=sharing"",""พังงา!N341"")+IMPORTRANGE(""https://docs.google.com/spreadsheets/d/17ht0gPKzzT3PObBL1XJkeR"&amp;"mntBXI7wGjpLV7QorqlTk/edit?usp=sharing"",""พัทลุง!N341"")+IMPORTRANGE(""https://docs.google.com/spreadsheets/d/1rd4qoM1q_hsgaolqNGfrim9gbsoLxQsda4-vOz5x_BM/edit?usp=sharing"",""ภูเก็ต!N341"")+IMPORTRANGE(""https://docs.google.com/spreadsheets/d/1woKwKjgoL"&amp;"ssDvPcPeVyezB5izizAn4X1JDrys69n6xI/edit?usp=sharing"",""ยะลา!N341"")+IMPORTRANGE(""https://docs.google.com/spreadsheets/d/1qfrKjzMhm2HJfxQ-qVlJlJQ25Hne1d0khsySbZyGtPA/edit?usp=sharing"",""ระนอง!N341"")+IMPORTRANGE(""https://docs.google.com/spreadsheets/d/"&amp;"1IbSCnFOKpZsnFogBHJnL_isstZVaOMnFiIN0fGTPZZw/edit?usp=sharing"",""สงขลา!N341"")+IMPORTRANGE(""https://docs.google.com/spreadsheets/d/1q9nWasZJ-K8bFGvbE9n0qSRuKGA4Toe3Y89cKCiVtCU/edit?usp=sharing"",""สตูล!N341"")+IMPORTRANGE(""https://docs.google.com/sprea"&amp;"dsheets/d/18T20gbkS_WBjdscyTOV05cvq_JqvqQ17C81mpxf7Ncs/edit?usp=sharing"",""สุราษฎร์ธานี!N341"")"),0)</f>
        <v>0</v>
      </c>
      <c r="O341" s="59">
        <f t="shared" ca="1" si="145"/>
        <v>0</v>
      </c>
      <c r="P341" s="59">
        <f t="shared" ca="1" si="146"/>
        <v>0</v>
      </c>
    </row>
    <row r="342" spans="1:16" ht="19.5" x14ac:dyDescent="0.3">
      <c r="A342" s="167"/>
      <c r="B342" s="168"/>
      <c r="C342" s="158" t="s">
        <v>16</v>
      </c>
      <c r="D342" s="404" t="s">
        <v>36</v>
      </c>
      <c r="E342" s="170"/>
      <c r="F342" s="170"/>
      <c r="G342" s="170"/>
      <c r="H342" s="405"/>
      <c r="I342" s="406"/>
      <c r="J342" s="406"/>
      <c r="K342" s="407"/>
      <c r="L342" s="58"/>
      <c r="M342" s="58"/>
      <c r="N342" s="58"/>
      <c r="O342" s="165"/>
      <c r="P342" s="165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10753</v>
      </c>
      <c r="K343" s="415">
        <v>0</v>
      </c>
      <c r="L343" s="416"/>
      <c r="M343" s="416"/>
      <c r="N343" s="416"/>
      <c r="O343" s="416"/>
      <c r="P343" s="416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kKUcYdkIfrgTSj8iHHHB2MD2FAtwyyocFgqGQn6ADyI/edit?usp=sharing"",""กระบี่!I344"")+IMPORTRANGE(""https://docs.google.com/spreadsheets/d/1GwtLaSlNZkLk7iDqcyZz22giiy40b_usZZBXYciEN1U/edit?usp=sharing"",""ชุ"&amp;"มพร!I344"")+IMPORTRANGE(""https://docs.google.com/spreadsheets/d/16pAz3pOhQEZBhvFNMa5KGgZS6iKWpsKX0pg6tQmwFpo/edit?usp=sharing"",""ตรัง!I344"")+IMPORTRANGE(""https://docs.google.com/spreadsheets/d/1Dj4jcHCTV9JXKCaMoheSXS52JE63kDKyG7bPXnFogHk/edit?usp=shar"&amp;"ing"",""นครศรีธรรมราช!I344"")+IMPORTRANGE(""https://docs.google.com/spreadsheets/d/1iodCdmuK2GR3jzUwk8tpccY2JHQQA-87DLOtJP-ooyU/edit?usp=sharing"",""นราธิวาส!I344"")+IMPORTRANGE(""https://docs.google.com/spreadsheets/d/1SDNX3JhDdYRuIOsj0Wh2M-Qa_eaXl0NbWmh"&amp;"AOTbfQAs/edit?usp=sharing"",""ปัตตานี!I344"")+IMPORTRANGE(""https://docs.google.com/spreadsheets/d/16JDLGguT8s5DsGCND1KcwHP_AWR_zDMTqLHPLJUKhaU/edit?usp=sharing"",""พังงา!I344"")+IMPORTRANGE(""https://docs.google.com/spreadsheets/d/17ht0gPKzzT3PObBL1XJkeR"&amp;"mntBXI7wGjpLV7QorqlTk/edit?usp=sharing"",""พัทลุง!I344"")+IMPORTRANGE(""https://docs.google.com/spreadsheets/d/1rd4qoM1q_hsgaolqNGfrim9gbsoLxQsda4-vOz5x_BM/edit?usp=sharing"",""ภูเก็ต!I344"")+IMPORTRANGE(""https://docs.google.com/spreadsheets/d/1woKwKjgoL"&amp;"ssDvPcPeVyezB5izizAn4X1JDrys69n6xI/edit?usp=sharing"",""ยะลา!I344"")+IMPORTRANGE(""https://docs.google.com/spreadsheets/d/1qfrKjzMhm2HJfxQ-qVlJlJQ25Hne1d0khsySbZyGtPA/edit?usp=sharing"",""ระนอง!I344"")+IMPORTRANGE(""https://docs.google.com/spreadsheets/d/"&amp;"1IbSCnFOKpZsnFogBHJnL_isstZVaOMnFiIN0fGTPZZw/edit?usp=sharing"",""สงขลา!I344"")+IMPORTRANGE(""https://docs.google.com/spreadsheets/d/1q9nWasZJ-K8bFGvbE9n0qSRuKGA4Toe3Y89cKCiVtCU/edit?usp=sharing"",""สตูล!I344"")+IMPORTRANGE(""https://docs.google.com/sprea"&amp;"dsheets/d/18T20gbkS_WBjdscyTOV05cvq_JqvqQ17C81mpxf7Ncs/edit?usp=sharing"",""สุราษฎร์ธานี!I344"")"),12140)</f>
        <v>12140</v>
      </c>
      <c r="J344" s="424">
        <f ca="1">IFERROR(__xludf.DUMMYFUNCTION("IMPORTRANGE(""https://docs.google.com/spreadsheets/d/1kKUcYdkIfrgTSj8iHHHB2MD2FAtwyyocFgqGQn6ADyI/edit?usp=sharing"",""กระบี่!J344"")+IMPORTRANGE(""https://docs.google.com/spreadsheets/d/1GwtLaSlNZkLk7iDqcyZz22giiy40b_usZZBXYciEN1U/edit?usp=sharing"",""ชุ"&amp;"มพร!J344"")+IMPORTRANGE(""https://docs.google.com/spreadsheets/d/16pAz3pOhQEZBhvFNMa5KGgZS6iKWpsKX0pg6tQmwFpo/edit?usp=sharing"",""ตรัง!J344"")+IMPORTRANGE(""https://docs.google.com/spreadsheets/d/1Dj4jcHCTV9JXKCaMoheSXS52JE63kDKyG7bPXnFogHk/edit?usp=shar"&amp;"ing"",""นครศรีธรรมราช!J344"")+IMPORTRANGE(""https://docs.google.com/spreadsheets/d/1iodCdmuK2GR3jzUwk8tpccY2JHQQA-87DLOtJP-ooyU/edit?usp=sharing"",""นราธิวาส!J344"")+IMPORTRANGE(""https://docs.google.com/spreadsheets/d/1SDNX3JhDdYRuIOsj0Wh2M-Qa_eaXl0NbWmh"&amp;"AOTbfQAs/edit?usp=sharing"",""ปัตตานี!J344"")+IMPORTRANGE(""https://docs.google.com/spreadsheets/d/16JDLGguT8s5DsGCND1KcwHP_AWR_zDMTqLHPLJUKhaU/edit?usp=sharing"",""พังงา!J344"")+IMPORTRANGE(""https://docs.google.com/spreadsheets/d/17ht0gPKzzT3PObBL1XJkeR"&amp;"mntBXI7wGjpLV7QorqlTk/edit?usp=sharing"",""พัทลุง!J344"")+IMPORTRANGE(""https://docs.google.com/spreadsheets/d/1rd4qoM1q_hsgaolqNGfrim9gbsoLxQsda4-vOz5x_BM/edit?usp=sharing"",""ภูเก็ต!J344"")+IMPORTRANGE(""https://docs.google.com/spreadsheets/d/1woKwKjgoL"&amp;"ssDvPcPeVyezB5izizAn4X1JDrys69n6xI/edit?usp=sharing"",""ยะลา!J344"")+IMPORTRANGE(""https://docs.google.com/spreadsheets/d/1qfrKjzMhm2HJfxQ-qVlJlJQ25Hne1d0khsySbZyGtPA/edit?usp=sharing"",""ระนอง!J344"")+IMPORTRANGE(""https://docs.google.com/spreadsheets/d/"&amp;"1IbSCnFOKpZsnFogBHJnL_isstZVaOMnFiIN0fGTPZZw/edit?usp=sharing"",""สงขลา!J344"")+IMPORTRANGE(""https://docs.google.com/spreadsheets/d/1q9nWasZJ-K8bFGvbE9n0qSRuKGA4Toe3Y89cKCiVtCU/edit?usp=sharing"",""สตูล!J344"")+IMPORTRANGE(""https://docs.google.com/sprea"&amp;"dsheets/d/18T20gbkS_WBjdscyTOV05cvq_JqvqQ17C81mpxf7Ncs/edit?usp=sharing"",""สุราษฎร์ธานี!J344"")"),10515)</f>
        <v>10515</v>
      </c>
      <c r="K344" s="425">
        <f ca="1">IF(I344&gt;0,J344*100/I344,0)</f>
        <v>86.614497528830313</v>
      </c>
      <c r="L344" s="58"/>
      <c r="M344" s="58"/>
      <c r="N344" s="58"/>
      <c r="O344" s="58"/>
      <c r="P344" s="5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58"/>
      <c r="M345" s="58"/>
      <c r="N345" s="58"/>
      <c r="O345" s="58"/>
      <c r="P345" s="5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kKUcYdkIfrgTSj8iHHHB2MD2FAtwyyocFgqGQn6ADyI/edit?usp=sharing"",""กระบี่!I346"")+IMPORTRANGE(""https://docs.google.com/spreadsheets/d/1GwtLaSlNZkLk7iDqcyZz22giiy40b_usZZBXYciEN1U/edit?usp=sharing"",""ชุ"&amp;"มพร!I346"")+IMPORTRANGE(""https://docs.google.com/spreadsheets/d/16pAz3pOhQEZBhvFNMa5KGgZS6iKWpsKX0pg6tQmwFpo/edit?usp=sharing"",""ตรัง!I346"")+IMPORTRANGE(""https://docs.google.com/spreadsheets/d/1Dj4jcHCTV9JXKCaMoheSXS52JE63kDKyG7bPXnFogHk/edit?usp=shar"&amp;"ing"",""นครศรีธรรมราช!I346"")+IMPORTRANGE(""https://docs.google.com/spreadsheets/d/1iodCdmuK2GR3jzUwk8tpccY2JHQQA-87DLOtJP-ooyU/edit?usp=sharing"",""นราธิวาส!I346"")+IMPORTRANGE(""https://docs.google.com/spreadsheets/d/1SDNX3JhDdYRuIOsj0Wh2M-Qa_eaXl0NbWmh"&amp;"AOTbfQAs/edit?usp=sharing"",""ปัตตานี!I346"")+IMPORTRANGE(""https://docs.google.com/spreadsheets/d/16JDLGguT8s5DsGCND1KcwHP_AWR_zDMTqLHPLJUKhaU/edit?usp=sharing"",""พังงา!I346"")+IMPORTRANGE(""https://docs.google.com/spreadsheets/d/17ht0gPKzzT3PObBL1XJkeR"&amp;"mntBXI7wGjpLV7QorqlTk/edit?usp=sharing"",""พัทลุง!I346"")+IMPORTRANGE(""https://docs.google.com/spreadsheets/d/1rd4qoM1q_hsgaolqNGfrim9gbsoLxQsda4-vOz5x_BM/edit?usp=sharing"",""ภูเก็ต!I346"")+IMPORTRANGE(""https://docs.google.com/spreadsheets/d/1woKwKjgoL"&amp;"ssDvPcPeVyezB5izizAn4X1JDrys69n6xI/edit?usp=sharing"",""ยะลา!I346"")+IMPORTRANGE(""https://docs.google.com/spreadsheets/d/1qfrKjzMhm2HJfxQ-qVlJlJQ25Hne1d0khsySbZyGtPA/edit?usp=sharing"",""ระนอง!I346"")+IMPORTRANGE(""https://docs.google.com/spreadsheets/d/"&amp;"1IbSCnFOKpZsnFogBHJnL_isstZVaOMnFiIN0fGTPZZw/edit?usp=sharing"",""สงขลา!I346"")+IMPORTRANGE(""https://docs.google.com/spreadsheets/d/1q9nWasZJ-K8bFGvbE9n0qSRuKGA4Toe3Y89cKCiVtCU/edit?usp=sharing"",""สตูล!I346"")+IMPORTRANGE(""https://docs.google.com/sprea"&amp;"dsheets/d/18T20gbkS_WBjdscyTOV05cvq_JqvqQ17C81mpxf7Ncs/edit?usp=sharing"",""สุราษฎร์ธานี!I346"")"),33)</f>
        <v>33</v>
      </c>
      <c r="J346" s="424">
        <f ca="1">IFERROR(__xludf.DUMMYFUNCTION("IMPORTRANGE(""https://docs.google.com/spreadsheets/d/1kKUcYdkIfrgTSj8iHHHB2MD2FAtwyyocFgqGQn6ADyI/edit?usp=sharing"",""กระบี่!J346"")+IMPORTRANGE(""https://docs.google.com/spreadsheets/d/1GwtLaSlNZkLk7iDqcyZz22giiy40b_usZZBXYciEN1U/edit?usp=sharing"",""ชุ"&amp;"มพร!J346"")+IMPORTRANGE(""https://docs.google.com/spreadsheets/d/16pAz3pOhQEZBhvFNMa5KGgZS6iKWpsKX0pg6tQmwFpo/edit?usp=sharing"",""ตรัง!J346"")+IMPORTRANGE(""https://docs.google.com/spreadsheets/d/1Dj4jcHCTV9JXKCaMoheSXS52JE63kDKyG7bPXnFogHk/edit?usp=shar"&amp;"ing"",""นครศรีธรรมราช!J346"")+IMPORTRANGE(""https://docs.google.com/spreadsheets/d/1iodCdmuK2GR3jzUwk8tpccY2JHQQA-87DLOtJP-ooyU/edit?usp=sharing"",""นราธิวาส!J346"")+IMPORTRANGE(""https://docs.google.com/spreadsheets/d/1SDNX3JhDdYRuIOsj0Wh2M-Qa_eaXl0NbWmh"&amp;"AOTbfQAs/edit?usp=sharing"",""ปัตตานี!J346"")+IMPORTRANGE(""https://docs.google.com/spreadsheets/d/16JDLGguT8s5DsGCND1KcwHP_AWR_zDMTqLHPLJUKhaU/edit?usp=sharing"",""พังงา!J346"")+IMPORTRANGE(""https://docs.google.com/spreadsheets/d/17ht0gPKzzT3PObBL1XJkeR"&amp;"mntBXI7wGjpLV7QorqlTk/edit?usp=sharing"",""พัทลุง!J346"")+IMPORTRANGE(""https://docs.google.com/spreadsheets/d/1rd4qoM1q_hsgaolqNGfrim9gbsoLxQsda4-vOz5x_BM/edit?usp=sharing"",""ภูเก็ต!J346"")+IMPORTRANGE(""https://docs.google.com/spreadsheets/d/1woKwKjgoL"&amp;"ssDvPcPeVyezB5izizAn4X1JDrys69n6xI/edit?usp=sharing"",""ยะลา!J346"")+IMPORTRANGE(""https://docs.google.com/spreadsheets/d/1qfrKjzMhm2HJfxQ-qVlJlJQ25Hne1d0khsySbZyGtPA/edit?usp=sharing"",""ระนอง!J346"")+IMPORTRANGE(""https://docs.google.com/spreadsheets/d/"&amp;"1IbSCnFOKpZsnFogBHJnL_isstZVaOMnFiIN0fGTPZZw/edit?usp=sharing"",""สงขลา!J346"")+IMPORTRANGE(""https://docs.google.com/spreadsheets/d/1q9nWasZJ-K8bFGvbE9n0qSRuKGA4Toe3Y89cKCiVtCU/edit?usp=sharing"",""สตูล!J346"")+IMPORTRANGE(""https://docs.google.com/sprea"&amp;"dsheets/d/18T20gbkS_WBjdscyTOV05cvq_JqvqQ17C81mpxf7Ncs/edit?usp=sharing"",""สุราษฎร์ธานี!J346"")"),24)</f>
        <v>24</v>
      </c>
      <c r="K346" s="425">
        <f ca="1">IF(I346&gt;0,J346*100/I346,0)</f>
        <v>72.727272727272734</v>
      </c>
      <c r="L346" s="58"/>
      <c r="M346" s="58"/>
      <c r="N346" s="58"/>
      <c r="O346" s="58"/>
      <c r="P346" s="5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kKUcYdkIfrgTSj8iHHHB2MD2FAtwyyocFgqGQn6ADyI/edit?usp=sharing"",""กระบี่!J347"")+IMPORTRANGE(""https://docs.google.com/spreadsheets/d/1GwtLaSlNZkLk7iDqcyZz22giiy40b_usZZBXYciEN1U/edit?usp=sharing"",""ชุ"&amp;"มพร!J347"")+IMPORTRANGE(""https://docs.google.com/spreadsheets/d/16pAz3pOhQEZBhvFNMa5KGgZS6iKWpsKX0pg6tQmwFpo/edit?usp=sharing"",""ตรัง!J347"")+IMPORTRANGE(""https://docs.google.com/spreadsheets/d/1Dj4jcHCTV9JXKCaMoheSXS52JE63kDKyG7bPXnFogHk/edit?usp=shar"&amp;"ing"",""นครศรีธรรมราช!J347"")+IMPORTRANGE(""https://docs.google.com/spreadsheets/d/1iodCdmuK2GR3jzUwk8tpccY2JHQQA-87DLOtJP-ooyU/edit?usp=sharing"",""นราธิวาส!J347"")+IMPORTRANGE(""https://docs.google.com/spreadsheets/d/1SDNX3JhDdYRuIOsj0Wh2M-Qa_eaXl0NbWmh"&amp;"AOTbfQAs/edit?usp=sharing"",""ปัตตานี!J347"")+IMPORTRANGE(""https://docs.google.com/spreadsheets/d/16JDLGguT8s5DsGCND1KcwHP_AWR_zDMTqLHPLJUKhaU/edit?usp=sharing"",""พังงา!J347"")+IMPORTRANGE(""https://docs.google.com/spreadsheets/d/17ht0gPKzzT3PObBL1XJkeR"&amp;"mntBXI7wGjpLV7QorqlTk/edit?usp=sharing"",""พัทลุง!J347"")+IMPORTRANGE(""https://docs.google.com/spreadsheets/d/1rd4qoM1q_hsgaolqNGfrim9gbsoLxQsda4-vOz5x_BM/edit?usp=sharing"",""ภูเก็ต!J347"")+IMPORTRANGE(""https://docs.google.com/spreadsheets/d/1woKwKjgoL"&amp;"ssDvPcPeVyezB5izizAn4X1JDrys69n6xI/edit?usp=sharing"",""ยะลา!J347"")+IMPORTRANGE(""https://docs.google.com/spreadsheets/d/1qfrKjzMhm2HJfxQ-qVlJlJQ25Hne1d0khsySbZyGtPA/edit?usp=sharing"",""ระนอง!J347"")+IMPORTRANGE(""https://docs.google.com/spreadsheets/d/"&amp;"1IbSCnFOKpZsnFogBHJnL_isstZVaOMnFiIN0fGTPZZw/edit?usp=sharing"",""สงขลา!J347"")+IMPORTRANGE(""https://docs.google.com/spreadsheets/d/1q9nWasZJ-K8bFGvbE9n0qSRuKGA4Toe3Y89cKCiVtCU/edit?usp=sharing"",""สตูล!J347"")+IMPORTRANGE(""https://docs.google.com/sprea"&amp;"dsheets/d/18T20gbkS_WBjdscyTOV05cvq_JqvqQ17C81mpxf7Ncs/edit?usp=sharing"",""สุราษฎร์ธานี!J347"")"),221)</f>
        <v>221</v>
      </c>
      <c r="K347" s="428"/>
      <c r="L347" s="58"/>
      <c r="M347" s="58"/>
      <c r="N347" s="58"/>
      <c r="O347" s="58"/>
      <c r="P347" s="5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kKUcYdkIfrgTSj8iHHHB2MD2FAtwyyocFgqGQn6ADyI/edit?usp=sharing"",""กระบี่!J348"")+IMPORTRANGE(""https://docs.google.com/spreadsheets/d/1GwtLaSlNZkLk7iDqcyZz22giiy40b_usZZBXYciEN1U/edit?usp=sharing"",""ชุ"&amp;"มพร!J348"")+IMPORTRANGE(""https://docs.google.com/spreadsheets/d/16pAz3pOhQEZBhvFNMa5KGgZS6iKWpsKX0pg6tQmwFpo/edit?usp=sharing"",""ตรัง!J348"")+IMPORTRANGE(""https://docs.google.com/spreadsheets/d/1Dj4jcHCTV9JXKCaMoheSXS52JE63kDKyG7bPXnFogHk/edit?usp=shar"&amp;"ing"",""นครศรีธรรมราช!J348"")+IMPORTRANGE(""https://docs.google.com/spreadsheets/d/1iodCdmuK2GR3jzUwk8tpccY2JHQQA-87DLOtJP-ooyU/edit?usp=sharing"",""นราธิวาส!J348"")+IMPORTRANGE(""https://docs.google.com/spreadsheets/d/1SDNX3JhDdYRuIOsj0Wh2M-Qa_eaXl0NbWmh"&amp;"AOTbfQAs/edit?usp=sharing"",""ปัตตานี!J348"")+IMPORTRANGE(""https://docs.google.com/spreadsheets/d/16JDLGguT8s5DsGCND1KcwHP_AWR_zDMTqLHPLJUKhaU/edit?usp=sharing"",""พังงา!J348"")+IMPORTRANGE(""https://docs.google.com/spreadsheets/d/17ht0gPKzzT3PObBL1XJkeR"&amp;"mntBXI7wGjpLV7QorqlTk/edit?usp=sharing"",""พัทลุง!J348"")+IMPORTRANGE(""https://docs.google.com/spreadsheets/d/1rd4qoM1q_hsgaolqNGfrim9gbsoLxQsda4-vOz5x_BM/edit?usp=sharing"",""ภูเก็ต!J348"")+IMPORTRANGE(""https://docs.google.com/spreadsheets/d/1woKwKjgoL"&amp;"ssDvPcPeVyezB5izizAn4X1JDrys69n6xI/edit?usp=sharing"",""ยะลา!J348"")+IMPORTRANGE(""https://docs.google.com/spreadsheets/d/1qfrKjzMhm2HJfxQ-qVlJlJQ25Hne1d0khsySbZyGtPA/edit?usp=sharing"",""ระนอง!J348"")+IMPORTRANGE(""https://docs.google.com/spreadsheets/d/"&amp;"1IbSCnFOKpZsnFogBHJnL_isstZVaOMnFiIN0fGTPZZw/edit?usp=sharing"",""สงขลา!J348"")+IMPORTRANGE(""https://docs.google.com/spreadsheets/d/1q9nWasZJ-K8bFGvbE9n0qSRuKGA4Toe3Y89cKCiVtCU/edit?usp=sharing"",""สตูล!J348"")+IMPORTRANGE(""https://docs.google.com/sprea"&amp;"dsheets/d/18T20gbkS_WBjdscyTOV05cvq_JqvqQ17C81mpxf7Ncs/edit?usp=sharing"",""สุราษฎร์ธานี!J348"")"),15)</f>
        <v>15</v>
      </c>
      <c r="K348" s="428"/>
      <c r="L348" s="58"/>
      <c r="M348" s="58"/>
      <c r="N348" s="58"/>
      <c r="O348" s="58"/>
      <c r="P348" s="5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kKUcYdkIfrgTSj8iHHHB2MD2FAtwyyocFgqGQn6ADyI/edit?usp=sharing"",""กระบี่!J349"")+IMPORTRANGE(""https://docs.google.com/spreadsheets/d/1GwtLaSlNZkLk7iDqcyZz22giiy40b_usZZBXYciEN1U/edit?usp=sharing"",""ชุ"&amp;"มพร!J349"")+IMPORTRANGE(""https://docs.google.com/spreadsheets/d/16pAz3pOhQEZBhvFNMa5KGgZS6iKWpsKX0pg6tQmwFpo/edit?usp=sharing"",""ตรัง!J349"")+IMPORTRANGE(""https://docs.google.com/spreadsheets/d/1Dj4jcHCTV9JXKCaMoheSXS52JE63kDKyG7bPXnFogHk/edit?usp=shar"&amp;"ing"",""นครศรีธรรมราช!J349"")+IMPORTRANGE(""https://docs.google.com/spreadsheets/d/1iodCdmuK2GR3jzUwk8tpccY2JHQQA-87DLOtJP-ooyU/edit?usp=sharing"",""นราธิวาส!J349"")+IMPORTRANGE(""https://docs.google.com/spreadsheets/d/1SDNX3JhDdYRuIOsj0Wh2M-Qa_eaXl0NbWmh"&amp;"AOTbfQAs/edit?usp=sharing"",""ปัตตานี!J349"")+IMPORTRANGE(""https://docs.google.com/spreadsheets/d/16JDLGguT8s5DsGCND1KcwHP_AWR_zDMTqLHPLJUKhaU/edit?usp=sharing"",""พังงา!J349"")+IMPORTRANGE(""https://docs.google.com/spreadsheets/d/17ht0gPKzzT3PObBL1XJkeR"&amp;"mntBXI7wGjpLV7QorqlTk/edit?usp=sharing"",""พัทลุง!J349"")+IMPORTRANGE(""https://docs.google.com/spreadsheets/d/1rd4qoM1q_hsgaolqNGfrim9gbsoLxQsda4-vOz5x_BM/edit?usp=sharing"",""ภูเก็ต!J349"")+IMPORTRANGE(""https://docs.google.com/spreadsheets/d/1woKwKjgoL"&amp;"ssDvPcPeVyezB5izizAn4X1JDrys69n6xI/edit?usp=sharing"",""ยะลา!J349"")+IMPORTRANGE(""https://docs.google.com/spreadsheets/d/1qfrKjzMhm2HJfxQ-qVlJlJQ25Hne1d0khsySbZyGtPA/edit?usp=sharing"",""ระนอง!J349"")+IMPORTRANGE(""https://docs.google.com/spreadsheets/d/"&amp;"1IbSCnFOKpZsnFogBHJnL_isstZVaOMnFiIN0fGTPZZw/edit?usp=sharing"",""สงขลา!J349"")+IMPORTRANGE(""https://docs.google.com/spreadsheets/d/1q9nWasZJ-K8bFGvbE9n0qSRuKGA4Toe3Y89cKCiVtCU/edit?usp=sharing"",""สตูล!J349"")+IMPORTRANGE(""https://docs.google.com/sprea"&amp;"dsheets/d/18T20gbkS_WBjdscyTOV05cvq_JqvqQ17C81mpxf7Ncs/edit?usp=sharing"",""สุราษฎร์ธานี!J349"")"),2)</f>
        <v>2</v>
      </c>
      <c r="K349" s="428"/>
      <c r="L349" s="58"/>
      <c r="M349" s="58"/>
      <c r="N349" s="58"/>
      <c r="O349" s="58"/>
      <c r="P349" s="5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58"/>
      <c r="M350" s="58"/>
      <c r="N350" s="58"/>
      <c r="O350" s="58"/>
      <c r="P350" s="58"/>
    </row>
    <row r="351" spans="1:16" ht="19.5" x14ac:dyDescent="0.3">
      <c r="A351" s="432"/>
      <c r="B351" s="433"/>
      <c r="C351" s="434"/>
      <c r="D351" s="433"/>
      <c r="E351" s="435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17236</v>
      </c>
      <c r="K351" s="439">
        <v>0</v>
      </c>
      <c r="L351" s="287"/>
      <c r="M351" s="287"/>
      <c r="N351" s="287"/>
      <c r="O351" s="287"/>
      <c r="P351" s="287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kKUcYdkIfrgTSj8iHHHB2MD2FAtwyyocFgqGQn6ADyI/edit?usp=sharing"",""กระบี่!J352"")+IMPORTRANGE(""https://docs.google.com/spreadsheets/d/1GwtLaSlNZkLk7iDqcyZz22giiy40b_usZZBXYciEN1U/edit?usp=sharing"",""ชุ"&amp;"มพร!J352"")+IMPORTRANGE(""https://docs.google.com/spreadsheets/d/16pAz3pOhQEZBhvFNMa5KGgZS6iKWpsKX0pg6tQmwFpo/edit?usp=sharing"",""ตรัง!J352"")+IMPORTRANGE(""https://docs.google.com/spreadsheets/d/1Dj4jcHCTV9JXKCaMoheSXS52JE63kDKyG7bPXnFogHk/edit?usp=shar"&amp;"ing"",""นครศรีธรรมราช!J352"")+IMPORTRANGE(""https://docs.google.com/spreadsheets/d/1iodCdmuK2GR3jzUwk8tpccY2JHQQA-87DLOtJP-ooyU/edit?usp=sharing"",""นราธิวาส!J352"")+IMPORTRANGE(""https://docs.google.com/spreadsheets/d/1SDNX3JhDdYRuIOsj0Wh2M-Qa_eaXl0NbWmh"&amp;"AOTbfQAs/edit?usp=sharing"",""ปัตตานี!J352"")+IMPORTRANGE(""https://docs.google.com/spreadsheets/d/16JDLGguT8s5DsGCND1KcwHP_AWR_zDMTqLHPLJUKhaU/edit?usp=sharing"",""พังงา!J352"")+IMPORTRANGE(""https://docs.google.com/spreadsheets/d/17ht0gPKzzT3PObBL1XJkeR"&amp;"mntBXI7wGjpLV7QorqlTk/edit?usp=sharing"",""พัทลุง!J352"")+IMPORTRANGE(""https://docs.google.com/spreadsheets/d/1rd4qoM1q_hsgaolqNGfrim9gbsoLxQsda4-vOz5x_BM/edit?usp=sharing"",""ภูเก็ต!J352"")+IMPORTRANGE(""https://docs.google.com/spreadsheets/d/1woKwKjgoL"&amp;"ssDvPcPeVyezB5izizAn4X1JDrys69n6xI/edit?usp=sharing"",""ยะลา!J352"")+IMPORTRANGE(""https://docs.google.com/spreadsheets/d/1qfrKjzMhm2HJfxQ-qVlJlJQ25Hne1d0khsySbZyGtPA/edit?usp=sharing"",""ระนอง!J352"")+IMPORTRANGE(""https://docs.google.com/spreadsheets/d/"&amp;"1IbSCnFOKpZsnFogBHJnL_isstZVaOMnFiIN0fGTPZZw/edit?usp=sharing"",""สงขลา!J352"")+IMPORTRANGE(""https://docs.google.com/spreadsheets/d/1q9nWasZJ-K8bFGvbE9n0qSRuKGA4Toe3Y89cKCiVtCU/edit?usp=sharing"",""สตูล!J352"")+IMPORTRANGE(""https://docs.google.com/sprea"&amp;"dsheets/d/18T20gbkS_WBjdscyTOV05cvq_JqvqQ17C81mpxf7Ncs/edit?usp=sharing"",""สุราษฎร์ธานี!J352"")"),8201)</f>
        <v>8201</v>
      </c>
      <c r="K352" s="428"/>
      <c r="L352" s="58"/>
      <c r="M352" s="58"/>
      <c r="N352" s="58"/>
      <c r="O352" s="58"/>
      <c r="P352" s="5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kKUcYdkIfrgTSj8iHHHB2MD2FAtwyyocFgqGQn6ADyI/edit?usp=sharing"",""กระบี่!J353"")+IMPORTRANGE(""https://docs.google.com/spreadsheets/d/1GwtLaSlNZkLk7iDqcyZz22giiy40b_usZZBXYciEN1U/edit?usp=sharing"",""ชุ"&amp;"มพร!J353"")+IMPORTRANGE(""https://docs.google.com/spreadsheets/d/16pAz3pOhQEZBhvFNMa5KGgZS6iKWpsKX0pg6tQmwFpo/edit?usp=sharing"",""ตรัง!J353"")+IMPORTRANGE(""https://docs.google.com/spreadsheets/d/1Dj4jcHCTV9JXKCaMoheSXS52JE63kDKyG7bPXnFogHk/edit?usp=shar"&amp;"ing"",""นครศรีธรรมราช!J353"")+IMPORTRANGE(""https://docs.google.com/spreadsheets/d/1iodCdmuK2GR3jzUwk8tpccY2JHQQA-87DLOtJP-ooyU/edit?usp=sharing"",""นราธิวาส!J353"")+IMPORTRANGE(""https://docs.google.com/spreadsheets/d/1SDNX3JhDdYRuIOsj0Wh2M-Qa_eaXl0NbWmh"&amp;"AOTbfQAs/edit?usp=sharing"",""ปัตตานี!J353"")+IMPORTRANGE(""https://docs.google.com/spreadsheets/d/16JDLGguT8s5DsGCND1KcwHP_AWR_zDMTqLHPLJUKhaU/edit?usp=sharing"",""พังงา!J353"")+IMPORTRANGE(""https://docs.google.com/spreadsheets/d/17ht0gPKzzT3PObBL1XJkeR"&amp;"mntBXI7wGjpLV7QorqlTk/edit?usp=sharing"",""พัทลุง!J353"")+IMPORTRANGE(""https://docs.google.com/spreadsheets/d/1rd4qoM1q_hsgaolqNGfrim9gbsoLxQsda4-vOz5x_BM/edit?usp=sharing"",""ภูเก็ต!J353"")+IMPORTRANGE(""https://docs.google.com/spreadsheets/d/1woKwKjgoL"&amp;"ssDvPcPeVyezB5izizAn4X1JDrys69n6xI/edit?usp=sharing"",""ยะลา!J353"")+IMPORTRANGE(""https://docs.google.com/spreadsheets/d/1qfrKjzMhm2HJfxQ-qVlJlJQ25Hne1d0khsySbZyGtPA/edit?usp=sharing"",""ระนอง!J353"")+IMPORTRANGE(""https://docs.google.com/spreadsheets/d/"&amp;"1IbSCnFOKpZsnFogBHJnL_isstZVaOMnFiIN0fGTPZZw/edit?usp=sharing"",""สงขลา!J353"")+IMPORTRANGE(""https://docs.google.com/spreadsheets/d/1q9nWasZJ-K8bFGvbE9n0qSRuKGA4Toe3Y89cKCiVtCU/edit?usp=sharing"",""สตูล!J353"")+IMPORTRANGE(""https://docs.google.com/sprea"&amp;"dsheets/d/18T20gbkS_WBjdscyTOV05cvq_JqvqQ17C81mpxf7Ncs/edit?usp=sharing"",""สุราษฎร์ธานี!J353"")"),9035)</f>
        <v>9035</v>
      </c>
      <c r="K353" s="428"/>
      <c r="L353" s="58"/>
      <c r="M353" s="58"/>
      <c r="N353" s="58"/>
      <c r="O353" s="58"/>
      <c r="P353" s="5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58"/>
      <c r="M354" s="58"/>
      <c r="N354" s="58"/>
      <c r="O354" s="58"/>
      <c r="P354" s="58"/>
    </row>
    <row r="355" spans="1:16" ht="19.5" x14ac:dyDescent="0.3">
      <c r="A355" s="390"/>
      <c r="B355" s="391" t="s">
        <v>141</v>
      </c>
      <c r="C355" s="400"/>
      <c r="D355" s="392"/>
      <c r="E355" s="392"/>
      <c r="F355" s="392"/>
      <c r="G355" s="393"/>
      <c r="H355" s="393"/>
      <c r="I355" s="441"/>
      <c r="J355" s="441"/>
      <c r="K355" s="397"/>
      <c r="L355" s="397"/>
      <c r="M355" s="397"/>
      <c r="N355" s="397"/>
      <c r="O355" s="397"/>
      <c r="P355" s="397"/>
    </row>
    <row r="356" spans="1:16" ht="19.5" x14ac:dyDescent="0.3">
      <c r="A356" s="157"/>
      <c r="B356" s="53"/>
      <c r="C356" s="158" t="s">
        <v>16</v>
      </c>
      <c r="D356" s="159" t="s">
        <v>17</v>
      </c>
      <c r="E356" s="53"/>
      <c r="F356" s="53"/>
      <c r="G356" s="55"/>
      <c r="H356" s="160" t="s">
        <v>12</v>
      </c>
      <c r="I356" s="57"/>
      <c r="J356" s="57"/>
      <c r="K356" s="58"/>
      <c r="L356" s="161">
        <f t="shared" ref="L356:N356" ca="1" si="151">L357+L358</f>
        <v>6318015</v>
      </c>
      <c r="M356" s="161">
        <f t="shared" ca="1" si="151"/>
        <v>5170415</v>
      </c>
      <c r="N356" s="161">
        <f t="shared" ca="1" si="151"/>
        <v>1317162.3700000001</v>
      </c>
      <c r="O356" s="161">
        <f t="shared" ref="O356:O364" ca="1" si="152">IF(L356&gt;0,N356*100/L356,0)</f>
        <v>20.847724641362834</v>
      </c>
      <c r="P356" s="161">
        <f t="shared" ref="P356:P364" ca="1" si="153">IF(M356&gt;0,N356*100/M356,0)</f>
        <v>25.474983536137817</v>
      </c>
    </row>
    <row r="357" spans="1:16" ht="18.75" x14ac:dyDescent="0.25">
      <c r="A357" s="157"/>
      <c r="B357" s="53"/>
      <c r="C357" s="53"/>
      <c r="D357" s="53"/>
      <c r="E357" s="60" t="s">
        <v>18</v>
      </c>
      <c r="F357" s="53"/>
      <c r="G357" s="55"/>
      <c r="H357" s="162" t="s">
        <v>12</v>
      </c>
      <c r="I357" s="57"/>
      <c r="J357" s="57"/>
      <c r="K357" s="58"/>
      <c r="L357" s="59">
        <f t="shared" ref="L357:N357" ca="1" si="154">L360+L363</f>
        <v>0</v>
      </c>
      <c r="M357" s="59">
        <f t="shared" ca="1" si="154"/>
        <v>0</v>
      </c>
      <c r="N357" s="59">
        <f t="shared" ca="1" si="154"/>
        <v>0</v>
      </c>
      <c r="O357" s="59">
        <f t="shared" ca="1" si="152"/>
        <v>0</v>
      </c>
      <c r="P357" s="59">
        <f t="shared" ca="1" si="153"/>
        <v>0</v>
      </c>
    </row>
    <row r="358" spans="1:16" ht="18.75" x14ac:dyDescent="0.25">
      <c r="A358" s="157"/>
      <c r="B358" s="53"/>
      <c r="C358" s="53"/>
      <c r="D358" s="53"/>
      <c r="E358" s="60" t="s">
        <v>19</v>
      </c>
      <c r="F358" s="53"/>
      <c r="G358" s="55"/>
      <c r="H358" s="162" t="s">
        <v>12</v>
      </c>
      <c r="I358" s="57"/>
      <c r="J358" s="57"/>
      <c r="K358" s="58"/>
      <c r="L358" s="59">
        <f t="shared" ref="L358:N358" ca="1" si="155">L361+L364</f>
        <v>6318015</v>
      </c>
      <c r="M358" s="59">
        <f t="shared" ca="1" si="155"/>
        <v>5170415</v>
      </c>
      <c r="N358" s="59">
        <f t="shared" ca="1" si="155"/>
        <v>1317162.3700000001</v>
      </c>
      <c r="O358" s="59">
        <f t="shared" ca="1" si="152"/>
        <v>20.847724641362834</v>
      </c>
      <c r="P358" s="59">
        <f t="shared" ca="1" si="153"/>
        <v>25.474983536137817</v>
      </c>
    </row>
    <row r="359" spans="1:16" ht="18.75" x14ac:dyDescent="0.25">
      <c r="A359" s="157"/>
      <c r="B359" s="53"/>
      <c r="C359" s="53"/>
      <c r="D359" s="54" t="s">
        <v>20</v>
      </c>
      <c r="E359" s="53"/>
      <c r="F359" s="53"/>
      <c r="G359" s="55"/>
      <c r="H359" s="163" t="s">
        <v>12</v>
      </c>
      <c r="I359" s="164"/>
      <c r="J359" s="164"/>
      <c r="K359" s="165"/>
      <c r="L359" s="59">
        <f t="shared" ref="L359:N359" ca="1" si="156">L360+L361</f>
        <v>6318015</v>
      </c>
      <c r="M359" s="59">
        <f t="shared" ca="1" si="156"/>
        <v>5170415</v>
      </c>
      <c r="N359" s="59">
        <f t="shared" ca="1" si="156"/>
        <v>1317162.3700000001</v>
      </c>
      <c r="O359" s="59">
        <f t="shared" ca="1" si="152"/>
        <v>20.847724641362834</v>
      </c>
      <c r="P359" s="59">
        <f t="shared" ca="1" si="153"/>
        <v>25.474983536137817</v>
      </c>
    </row>
    <row r="360" spans="1:16" ht="18.75" x14ac:dyDescent="0.25">
      <c r="A360" s="157"/>
      <c r="B360" s="53"/>
      <c r="C360" s="53"/>
      <c r="D360" s="53"/>
      <c r="E360" s="60" t="s">
        <v>34</v>
      </c>
      <c r="F360" s="53"/>
      <c r="G360" s="55"/>
      <c r="H360" s="163" t="s">
        <v>12</v>
      </c>
      <c r="I360" s="164"/>
      <c r="J360" s="164"/>
      <c r="K360" s="165"/>
      <c r="L360" s="59">
        <f ca="1">IFERROR(__xludf.DUMMYFUNCTION("IMPORTRANGE(""https://docs.google.com/spreadsheets/d/1kKUcYdkIfrgTSj8iHHHB2MD2FAtwyyocFgqGQn6ADyI/edit?usp=sharing"",""กระบี่!L360"")+IMPORTRANGE(""https://docs.google.com/spreadsheets/d/1GwtLaSlNZkLk7iDqcyZz22giiy40b_usZZBXYciEN1U/edit?usp=sharing"",""ชุ"&amp;"มพร!L360"")+IMPORTRANGE(""https://docs.google.com/spreadsheets/d/16pAz3pOhQEZBhvFNMa5KGgZS6iKWpsKX0pg6tQmwFpo/edit?usp=sharing"",""ตรัง!L360"")+IMPORTRANGE(""https://docs.google.com/spreadsheets/d/1Dj4jcHCTV9JXKCaMoheSXS52JE63kDKyG7bPXnFogHk/edit?usp=shar"&amp;"ing"",""นครศรีธรรมราช!L360"")+IMPORTRANGE(""https://docs.google.com/spreadsheets/d/1iodCdmuK2GR3jzUwk8tpccY2JHQQA-87DLOtJP-ooyU/edit?usp=sharing"",""นราธิวาส!L360"")+IMPORTRANGE(""https://docs.google.com/spreadsheets/d/1SDNX3JhDdYRuIOsj0Wh2M-Qa_eaXl0NbWmh"&amp;"AOTbfQAs/edit?usp=sharing"",""ปัตตานี!L360"")+IMPORTRANGE(""https://docs.google.com/spreadsheets/d/16JDLGguT8s5DsGCND1KcwHP_AWR_zDMTqLHPLJUKhaU/edit?usp=sharing"",""พังงา!L360"")+IMPORTRANGE(""https://docs.google.com/spreadsheets/d/17ht0gPKzzT3PObBL1XJkeR"&amp;"mntBXI7wGjpLV7QorqlTk/edit?usp=sharing"",""พัทลุง!L360"")+IMPORTRANGE(""https://docs.google.com/spreadsheets/d/1rd4qoM1q_hsgaolqNGfrim9gbsoLxQsda4-vOz5x_BM/edit?usp=sharing"",""ภูเก็ต!L360"")+IMPORTRANGE(""https://docs.google.com/spreadsheets/d/1woKwKjgoL"&amp;"ssDvPcPeVyezB5izizAn4X1JDrys69n6xI/edit?usp=sharing"",""ยะลา!L360"")+IMPORTRANGE(""https://docs.google.com/spreadsheets/d/1qfrKjzMhm2HJfxQ-qVlJlJQ25Hne1d0khsySbZyGtPA/edit?usp=sharing"",""ระนอง!L360"")+IMPORTRANGE(""https://docs.google.com/spreadsheets/d/"&amp;"1IbSCnFOKpZsnFogBHJnL_isstZVaOMnFiIN0fGTPZZw/edit?usp=sharing"",""สงขลา!L360"")+IMPORTRANGE(""https://docs.google.com/spreadsheets/d/1q9nWasZJ-K8bFGvbE9n0qSRuKGA4Toe3Y89cKCiVtCU/edit?usp=sharing"",""สตูล!L360"")+IMPORTRANGE(""https://docs.google.com/sprea"&amp;"dsheets/d/18T20gbkS_WBjdscyTOV05cvq_JqvqQ17C81mpxf7Ncs/edit?usp=sharing"",""สุราษฎร์ธานี!L360"")"),0)</f>
        <v>0</v>
      </c>
      <c r="M360" s="59">
        <f ca="1">IFERROR(__xludf.DUMMYFUNCTION("IMPORTRANGE(""https://docs.google.com/spreadsheets/d/1kKUcYdkIfrgTSj8iHHHB2MD2FAtwyyocFgqGQn6ADyI/edit?usp=sharing"",""กระบี่!M360"")+IMPORTRANGE(""https://docs.google.com/spreadsheets/d/1GwtLaSlNZkLk7iDqcyZz22giiy40b_usZZBXYciEN1U/edit?usp=sharing"",""ชุ"&amp;"มพร!M360"")+IMPORTRANGE(""https://docs.google.com/spreadsheets/d/16pAz3pOhQEZBhvFNMa5KGgZS6iKWpsKX0pg6tQmwFpo/edit?usp=sharing"",""ตรัง!M360"")+IMPORTRANGE(""https://docs.google.com/spreadsheets/d/1Dj4jcHCTV9JXKCaMoheSXS52JE63kDKyG7bPXnFogHk/edit?usp=shar"&amp;"ing"",""นครศรีธรรมราช!M360"")+IMPORTRANGE(""https://docs.google.com/spreadsheets/d/1iodCdmuK2GR3jzUwk8tpccY2JHQQA-87DLOtJP-ooyU/edit?usp=sharing"",""นราธิวาส!M360"")+IMPORTRANGE(""https://docs.google.com/spreadsheets/d/1SDNX3JhDdYRuIOsj0Wh2M-Qa_eaXl0NbWmh"&amp;"AOTbfQAs/edit?usp=sharing"",""ปัตตานี!M360"")+IMPORTRANGE(""https://docs.google.com/spreadsheets/d/16JDLGguT8s5DsGCND1KcwHP_AWR_zDMTqLHPLJUKhaU/edit?usp=sharing"",""พังงา!M360"")+IMPORTRANGE(""https://docs.google.com/spreadsheets/d/17ht0gPKzzT3PObBL1XJkeR"&amp;"mntBXI7wGjpLV7QorqlTk/edit?usp=sharing"",""พัทลุง!M360"")+IMPORTRANGE(""https://docs.google.com/spreadsheets/d/1rd4qoM1q_hsgaolqNGfrim9gbsoLxQsda4-vOz5x_BM/edit?usp=sharing"",""ภูเก็ต!M360"")+IMPORTRANGE(""https://docs.google.com/spreadsheets/d/1woKwKjgoL"&amp;"ssDvPcPeVyezB5izizAn4X1JDrys69n6xI/edit?usp=sharing"",""ยะลา!M360"")+IMPORTRANGE(""https://docs.google.com/spreadsheets/d/1qfrKjzMhm2HJfxQ-qVlJlJQ25Hne1d0khsySbZyGtPA/edit?usp=sharing"",""ระนอง!M360"")+IMPORTRANGE(""https://docs.google.com/spreadsheets/d/"&amp;"1IbSCnFOKpZsnFogBHJnL_isstZVaOMnFiIN0fGTPZZw/edit?usp=sharing"",""สงขลา!M360"")+IMPORTRANGE(""https://docs.google.com/spreadsheets/d/1q9nWasZJ-K8bFGvbE9n0qSRuKGA4Toe3Y89cKCiVtCU/edit?usp=sharing"",""สตูล!M360"")+IMPORTRANGE(""https://docs.google.com/sprea"&amp;"dsheets/d/18T20gbkS_WBjdscyTOV05cvq_JqvqQ17C81mpxf7Ncs/edit?usp=sharing"",""สุราษฎร์ธานี!M360"")"),0)</f>
        <v>0</v>
      </c>
      <c r="N360" s="59">
        <f ca="1">IFERROR(__xludf.DUMMYFUNCTION("IMPORTRANGE(""https://docs.google.com/spreadsheets/d/1kKUcYdkIfrgTSj8iHHHB2MD2FAtwyyocFgqGQn6ADyI/edit?usp=sharing"",""กระบี่!N360"")+IMPORTRANGE(""https://docs.google.com/spreadsheets/d/1GwtLaSlNZkLk7iDqcyZz22giiy40b_usZZBXYciEN1U/edit?usp=sharing"",""ชุ"&amp;"มพร!N360"")+IMPORTRANGE(""https://docs.google.com/spreadsheets/d/16pAz3pOhQEZBhvFNMa5KGgZS6iKWpsKX0pg6tQmwFpo/edit?usp=sharing"",""ตรัง!N360"")+IMPORTRANGE(""https://docs.google.com/spreadsheets/d/1Dj4jcHCTV9JXKCaMoheSXS52JE63kDKyG7bPXnFogHk/edit?usp=shar"&amp;"ing"",""นครศรีธรรมราช!N360"")+IMPORTRANGE(""https://docs.google.com/spreadsheets/d/1iodCdmuK2GR3jzUwk8tpccY2JHQQA-87DLOtJP-ooyU/edit?usp=sharing"",""นราธิวาส!N360"")+IMPORTRANGE(""https://docs.google.com/spreadsheets/d/1SDNX3JhDdYRuIOsj0Wh2M-Qa_eaXl0NbWmh"&amp;"AOTbfQAs/edit?usp=sharing"",""ปัตตานี!N360"")+IMPORTRANGE(""https://docs.google.com/spreadsheets/d/16JDLGguT8s5DsGCND1KcwHP_AWR_zDMTqLHPLJUKhaU/edit?usp=sharing"",""พังงา!N360"")+IMPORTRANGE(""https://docs.google.com/spreadsheets/d/17ht0gPKzzT3PObBL1XJkeR"&amp;"mntBXI7wGjpLV7QorqlTk/edit?usp=sharing"",""พัทลุง!N360"")+IMPORTRANGE(""https://docs.google.com/spreadsheets/d/1rd4qoM1q_hsgaolqNGfrim9gbsoLxQsda4-vOz5x_BM/edit?usp=sharing"",""ภูเก็ต!N360"")+IMPORTRANGE(""https://docs.google.com/spreadsheets/d/1woKwKjgoL"&amp;"ssDvPcPeVyezB5izizAn4X1JDrys69n6xI/edit?usp=sharing"",""ยะลา!N360"")+IMPORTRANGE(""https://docs.google.com/spreadsheets/d/1qfrKjzMhm2HJfxQ-qVlJlJQ25Hne1d0khsySbZyGtPA/edit?usp=sharing"",""ระนอง!N360"")+IMPORTRANGE(""https://docs.google.com/spreadsheets/d/"&amp;"1IbSCnFOKpZsnFogBHJnL_isstZVaOMnFiIN0fGTPZZw/edit?usp=sharing"",""สงขลา!N360"")+IMPORTRANGE(""https://docs.google.com/spreadsheets/d/1q9nWasZJ-K8bFGvbE9n0qSRuKGA4Toe3Y89cKCiVtCU/edit?usp=sharing"",""สตูล!N360"")+IMPORTRANGE(""https://docs.google.com/sprea"&amp;"dsheets/d/18T20gbkS_WBjdscyTOV05cvq_JqvqQ17C81mpxf7Ncs/edit?usp=sharing"",""สุราษฎร์ธานี!N360"")"),0)</f>
        <v>0</v>
      </c>
      <c r="O360" s="59">
        <f t="shared" ca="1" si="152"/>
        <v>0</v>
      </c>
      <c r="P360" s="59">
        <f t="shared" ca="1" si="153"/>
        <v>0</v>
      </c>
    </row>
    <row r="361" spans="1:16" ht="18.75" x14ac:dyDescent="0.25">
      <c r="A361" s="157"/>
      <c r="B361" s="53"/>
      <c r="C361" s="53"/>
      <c r="D361" s="53"/>
      <c r="E361" s="60" t="s">
        <v>35</v>
      </c>
      <c r="F361" s="53"/>
      <c r="G361" s="55"/>
      <c r="H361" s="163" t="s">
        <v>12</v>
      </c>
      <c r="I361" s="164"/>
      <c r="J361" s="164"/>
      <c r="K361" s="165"/>
      <c r="L361" s="59">
        <f ca="1">IFERROR(__xludf.DUMMYFUNCTION("IMPORTRANGE(""https://docs.google.com/spreadsheets/d/1kKUcYdkIfrgTSj8iHHHB2MD2FAtwyyocFgqGQn6ADyI/edit?usp=sharing"",""กระบี่!L361"")+IMPORTRANGE(""https://docs.google.com/spreadsheets/d/1GwtLaSlNZkLk7iDqcyZz22giiy40b_usZZBXYciEN1U/edit?usp=sharing"",""ชุ"&amp;"มพร!L361"")+IMPORTRANGE(""https://docs.google.com/spreadsheets/d/16pAz3pOhQEZBhvFNMa5KGgZS6iKWpsKX0pg6tQmwFpo/edit?usp=sharing"",""ตรัง!L361"")+IMPORTRANGE(""https://docs.google.com/spreadsheets/d/1Dj4jcHCTV9JXKCaMoheSXS52JE63kDKyG7bPXnFogHk/edit?usp=shar"&amp;"ing"",""นครศรีธรรมราช!L361"")+IMPORTRANGE(""https://docs.google.com/spreadsheets/d/1iodCdmuK2GR3jzUwk8tpccY2JHQQA-87DLOtJP-ooyU/edit?usp=sharing"",""นราธิวาส!L361"")+IMPORTRANGE(""https://docs.google.com/spreadsheets/d/1SDNX3JhDdYRuIOsj0Wh2M-Qa_eaXl0NbWmh"&amp;"AOTbfQAs/edit?usp=sharing"",""ปัตตานี!L361"")+IMPORTRANGE(""https://docs.google.com/spreadsheets/d/16JDLGguT8s5DsGCND1KcwHP_AWR_zDMTqLHPLJUKhaU/edit?usp=sharing"",""พังงา!L361"")+IMPORTRANGE(""https://docs.google.com/spreadsheets/d/17ht0gPKzzT3PObBL1XJkeR"&amp;"mntBXI7wGjpLV7QorqlTk/edit?usp=sharing"",""พัทลุง!L361"")+IMPORTRANGE(""https://docs.google.com/spreadsheets/d/1rd4qoM1q_hsgaolqNGfrim9gbsoLxQsda4-vOz5x_BM/edit?usp=sharing"",""ภูเก็ต!L361"")+IMPORTRANGE(""https://docs.google.com/spreadsheets/d/1woKwKjgoL"&amp;"ssDvPcPeVyezB5izizAn4X1JDrys69n6xI/edit?usp=sharing"",""ยะลา!L361"")+IMPORTRANGE(""https://docs.google.com/spreadsheets/d/1qfrKjzMhm2HJfxQ-qVlJlJQ25Hne1d0khsySbZyGtPA/edit?usp=sharing"",""ระนอง!L361"")+IMPORTRANGE(""https://docs.google.com/spreadsheets/d/"&amp;"1IbSCnFOKpZsnFogBHJnL_isstZVaOMnFiIN0fGTPZZw/edit?usp=sharing"",""สงขลา!L361"")+IMPORTRANGE(""https://docs.google.com/spreadsheets/d/1q9nWasZJ-K8bFGvbE9n0qSRuKGA4Toe3Y89cKCiVtCU/edit?usp=sharing"",""สตูล!L361"")+IMPORTRANGE(""https://docs.google.com/sprea"&amp;"dsheets/d/18T20gbkS_WBjdscyTOV05cvq_JqvqQ17C81mpxf7Ncs/edit?usp=sharing"",""สุราษฎร์ธานี!L361"")"),6318015)</f>
        <v>6318015</v>
      </c>
      <c r="M361" s="59">
        <f ca="1">IFERROR(__xludf.DUMMYFUNCTION("IMPORTRANGE(""https://docs.google.com/spreadsheets/d/1kKUcYdkIfrgTSj8iHHHB2MD2FAtwyyocFgqGQn6ADyI/edit?usp=sharing"",""กระบี่!M361"")+IMPORTRANGE(""https://docs.google.com/spreadsheets/d/1GwtLaSlNZkLk7iDqcyZz22giiy40b_usZZBXYciEN1U/edit?usp=sharing"",""ชุ"&amp;"มพร!M361"")+IMPORTRANGE(""https://docs.google.com/spreadsheets/d/16pAz3pOhQEZBhvFNMa5KGgZS6iKWpsKX0pg6tQmwFpo/edit?usp=sharing"",""ตรัง!M361"")+IMPORTRANGE(""https://docs.google.com/spreadsheets/d/1Dj4jcHCTV9JXKCaMoheSXS52JE63kDKyG7bPXnFogHk/edit?usp=shar"&amp;"ing"",""นครศรีธรรมราช!M361"")+IMPORTRANGE(""https://docs.google.com/spreadsheets/d/1iodCdmuK2GR3jzUwk8tpccY2JHQQA-87DLOtJP-ooyU/edit?usp=sharing"",""นราธิวาส!M361"")+IMPORTRANGE(""https://docs.google.com/spreadsheets/d/1SDNX3JhDdYRuIOsj0Wh2M-Qa_eaXl0NbWmh"&amp;"AOTbfQAs/edit?usp=sharing"",""ปัตตานี!M361"")+IMPORTRANGE(""https://docs.google.com/spreadsheets/d/16JDLGguT8s5DsGCND1KcwHP_AWR_zDMTqLHPLJUKhaU/edit?usp=sharing"",""พังงา!M361"")+IMPORTRANGE(""https://docs.google.com/spreadsheets/d/17ht0gPKzzT3PObBL1XJkeR"&amp;"mntBXI7wGjpLV7QorqlTk/edit?usp=sharing"",""พัทลุง!M361"")+IMPORTRANGE(""https://docs.google.com/spreadsheets/d/1rd4qoM1q_hsgaolqNGfrim9gbsoLxQsda4-vOz5x_BM/edit?usp=sharing"",""ภูเก็ต!M361"")+IMPORTRANGE(""https://docs.google.com/spreadsheets/d/1woKwKjgoL"&amp;"ssDvPcPeVyezB5izizAn4X1JDrys69n6xI/edit?usp=sharing"",""ยะลา!M361"")+IMPORTRANGE(""https://docs.google.com/spreadsheets/d/1qfrKjzMhm2HJfxQ-qVlJlJQ25Hne1d0khsySbZyGtPA/edit?usp=sharing"",""ระนอง!M361"")+IMPORTRANGE(""https://docs.google.com/spreadsheets/d/"&amp;"1IbSCnFOKpZsnFogBHJnL_isstZVaOMnFiIN0fGTPZZw/edit?usp=sharing"",""สงขลา!M361"")+IMPORTRANGE(""https://docs.google.com/spreadsheets/d/1q9nWasZJ-K8bFGvbE9n0qSRuKGA4Toe3Y89cKCiVtCU/edit?usp=sharing"",""สตูล!M361"")+IMPORTRANGE(""https://docs.google.com/sprea"&amp;"dsheets/d/18T20gbkS_WBjdscyTOV05cvq_JqvqQ17C81mpxf7Ncs/edit?usp=sharing"",""สุราษฎร์ธานี!M361"")"),5170415)</f>
        <v>5170415</v>
      </c>
      <c r="N361" s="59">
        <f ca="1">IFERROR(__xludf.DUMMYFUNCTION("IMPORTRANGE(""https://docs.google.com/spreadsheets/d/1kKUcYdkIfrgTSj8iHHHB2MD2FAtwyyocFgqGQn6ADyI/edit?usp=sharing"",""กระบี่!N361"")+IMPORTRANGE(""https://docs.google.com/spreadsheets/d/1GwtLaSlNZkLk7iDqcyZz22giiy40b_usZZBXYciEN1U/edit?usp=sharing"",""ชุ"&amp;"มพร!N361"")+IMPORTRANGE(""https://docs.google.com/spreadsheets/d/16pAz3pOhQEZBhvFNMa5KGgZS6iKWpsKX0pg6tQmwFpo/edit?usp=sharing"",""ตรัง!N361"")+IMPORTRANGE(""https://docs.google.com/spreadsheets/d/1Dj4jcHCTV9JXKCaMoheSXS52JE63kDKyG7bPXnFogHk/edit?usp=shar"&amp;"ing"",""นครศรีธรรมราช!N361"")+IMPORTRANGE(""https://docs.google.com/spreadsheets/d/1iodCdmuK2GR3jzUwk8tpccY2JHQQA-87DLOtJP-ooyU/edit?usp=sharing"",""นราธิวาส!N361"")+IMPORTRANGE(""https://docs.google.com/spreadsheets/d/1SDNX3JhDdYRuIOsj0Wh2M-Qa_eaXl0NbWmh"&amp;"AOTbfQAs/edit?usp=sharing"",""ปัตตานี!N361"")+IMPORTRANGE(""https://docs.google.com/spreadsheets/d/16JDLGguT8s5DsGCND1KcwHP_AWR_zDMTqLHPLJUKhaU/edit?usp=sharing"",""พังงา!N361"")+IMPORTRANGE(""https://docs.google.com/spreadsheets/d/17ht0gPKzzT3PObBL1XJkeR"&amp;"mntBXI7wGjpLV7QorqlTk/edit?usp=sharing"",""พัทลุง!N361"")+IMPORTRANGE(""https://docs.google.com/spreadsheets/d/1rd4qoM1q_hsgaolqNGfrim9gbsoLxQsda4-vOz5x_BM/edit?usp=sharing"",""ภูเก็ต!N361"")+IMPORTRANGE(""https://docs.google.com/spreadsheets/d/1woKwKjgoL"&amp;"ssDvPcPeVyezB5izizAn4X1JDrys69n6xI/edit?usp=sharing"",""ยะลา!N361"")+IMPORTRANGE(""https://docs.google.com/spreadsheets/d/1qfrKjzMhm2HJfxQ-qVlJlJQ25Hne1d0khsySbZyGtPA/edit?usp=sharing"",""ระนอง!N361"")+IMPORTRANGE(""https://docs.google.com/spreadsheets/d/"&amp;"1IbSCnFOKpZsnFogBHJnL_isstZVaOMnFiIN0fGTPZZw/edit?usp=sharing"",""สงขลา!N361"")+IMPORTRANGE(""https://docs.google.com/spreadsheets/d/1q9nWasZJ-K8bFGvbE9n0qSRuKGA4Toe3Y89cKCiVtCU/edit?usp=sharing"",""สตูล!N361"")+IMPORTRANGE(""https://docs.google.com/sprea"&amp;"dsheets/d/18T20gbkS_WBjdscyTOV05cvq_JqvqQ17C81mpxf7Ncs/edit?usp=sharing"",""สุราษฎร์ธานี!N361"")"),1317162.37)</f>
        <v>1317162.3700000001</v>
      </c>
      <c r="O361" s="59">
        <f t="shared" ca="1" si="152"/>
        <v>20.847724641362834</v>
      </c>
      <c r="P361" s="59">
        <f t="shared" ca="1" si="153"/>
        <v>25.474983536137817</v>
      </c>
    </row>
    <row r="362" spans="1:16" ht="18.75" x14ac:dyDescent="0.25">
      <c r="A362" s="157"/>
      <c r="B362" s="53"/>
      <c r="C362" s="53"/>
      <c r="D362" s="54" t="s">
        <v>21</v>
      </c>
      <c r="E362" s="53"/>
      <c r="F362" s="53"/>
      <c r="G362" s="55"/>
      <c r="H362" s="166" t="s">
        <v>12</v>
      </c>
      <c r="I362" s="164"/>
      <c r="J362" s="164"/>
      <c r="K362" s="165"/>
      <c r="L362" s="59">
        <f t="shared" ref="L362:N362" ca="1" si="157">L363+L364</f>
        <v>0</v>
      </c>
      <c r="M362" s="59">
        <f t="shared" ca="1" si="157"/>
        <v>0</v>
      </c>
      <c r="N362" s="59">
        <f t="shared" ca="1" si="157"/>
        <v>0</v>
      </c>
      <c r="O362" s="59">
        <f t="shared" ca="1" si="152"/>
        <v>0</v>
      </c>
      <c r="P362" s="59">
        <f t="shared" ca="1" si="153"/>
        <v>0</v>
      </c>
    </row>
    <row r="363" spans="1:16" ht="18.75" x14ac:dyDescent="0.25">
      <c r="A363" s="157"/>
      <c r="B363" s="53"/>
      <c r="C363" s="53"/>
      <c r="D363" s="53"/>
      <c r="E363" s="60" t="s">
        <v>18</v>
      </c>
      <c r="F363" s="53"/>
      <c r="G363" s="55"/>
      <c r="H363" s="163" t="s">
        <v>12</v>
      </c>
      <c r="I363" s="164"/>
      <c r="J363" s="164"/>
      <c r="K363" s="165"/>
      <c r="L363" s="59">
        <f ca="1">IFERROR(__xludf.DUMMYFUNCTION("IMPORTRANGE(""https://docs.google.com/spreadsheets/d/1kKUcYdkIfrgTSj8iHHHB2MD2FAtwyyocFgqGQn6ADyI/edit?usp=sharing"",""กระบี่!L363"")+IMPORTRANGE(""https://docs.google.com/spreadsheets/d/1GwtLaSlNZkLk7iDqcyZz22giiy40b_usZZBXYciEN1U/edit?usp=sharing"",""ชุ"&amp;"มพร!L363"")+IMPORTRANGE(""https://docs.google.com/spreadsheets/d/16pAz3pOhQEZBhvFNMa5KGgZS6iKWpsKX0pg6tQmwFpo/edit?usp=sharing"",""ตรัง!L363"")+IMPORTRANGE(""https://docs.google.com/spreadsheets/d/1Dj4jcHCTV9JXKCaMoheSXS52JE63kDKyG7bPXnFogHk/edit?usp=shar"&amp;"ing"",""นครศรีธรรมราช!L363"")+IMPORTRANGE(""https://docs.google.com/spreadsheets/d/1iodCdmuK2GR3jzUwk8tpccY2JHQQA-87DLOtJP-ooyU/edit?usp=sharing"",""นราธิวาส!L363"")+IMPORTRANGE(""https://docs.google.com/spreadsheets/d/1SDNX3JhDdYRuIOsj0Wh2M-Qa_eaXl0NbWmh"&amp;"AOTbfQAs/edit?usp=sharing"",""ปัตตานี!L363"")+IMPORTRANGE(""https://docs.google.com/spreadsheets/d/16JDLGguT8s5DsGCND1KcwHP_AWR_zDMTqLHPLJUKhaU/edit?usp=sharing"",""พังงา!L363"")+IMPORTRANGE(""https://docs.google.com/spreadsheets/d/17ht0gPKzzT3PObBL1XJkeR"&amp;"mntBXI7wGjpLV7QorqlTk/edit?usp=sharing"",""พัทลุง!L363"")+IMPORTRANGE(""https://docs.google.com/spreadsheets/d/1rd4qoM1q_hsgaolqNGfrim9gbsoLxQsda4-vOz5x_BM/edit?usp=sharing"",""ภูเก็ต!L363"")+IMPORTRANGE(""https://docs.google.com/spreadsheets/d/1woKwKjgoL"&amp;"ssDvPcPeVyezB5izizAn4X1JDrys69n6xI/edit?usp=sharing"",""ยะลา!L363"")+IMPORTRANGE(""https://docs.google.com/spreadsheets/d/1qfrKjzMhm2HJfxQ-qVlJlJQ25Hne1d0khsySbZyGtPA/edit?usp=sharing"",""ระนอง!L363"")+IMPORTRANGE(""https://docs.google.com/spreadsheets/d/"&amp;"1IbSCnFOKpZsnFogBHJnL_isstZVaOMnFiIN0fGTPZZw/edit?usp=sharing"",""สงขลา!L363"")+IMPORTRANGE(""https://docs.google.com/spreadsheets/d/1q9nWasZJ-K8bFGvbE9n0qSRuKGA4Toe3Y89cKCiVtCU/edit?usp=sharing"",""สตูล!L363"")+IMPORTRANGE(""https://docs.google.com/sprea"&amp;"dsheets/d/18T20gbkS_WBjdscyTOV05cvq_JqvqQ17C81mpxf7Ncs/edit?usp=sharing"",""สุราษฎร์ธานี!L363"")"),0)</f>
        <v>0</v>
      </c>
      <c r="M363" s="59">
        <f ca="1">IFERROR(__xludf.DUMMYFUNCTION("IMPORTRANGE(""https://docs.google.com/spreadsheets/d/1kKUcYdkIfrgTSj8iHHHB2MD2FAtwyyocFgqGQn6ADyI/edit?usp=sharing"",""กระบี่!M363"")+IMPORTRANGE(""https://docs.google.com/spreadsheets/d/1GwtLaSlNZkLk7iDqcyZz22giiy40b_usZZBXYciEN1U/edit?usp=sharing"",""ชุ"&amp;"มพร!M363"")+IMPORTRANGE(""https://docs.google.com/spreadsheets/d/16pAz3pOhQEZBhvFNMa5KGgZS6iKWpsKX0pg6tQmwFpo/edit?usp=sharing"",""ตรัง!M363"")+IMPORTRANGE(""https://docs.google.com/spreadsheets/d/1Dj4jcHCTV9JXKCaMoheSXS52JE63kDKyG7bPXnFogHk/edit?usp=shar"&amp;"ing"",""นครศรีธรรมราช!M363"")+IMPORTRANGE(""https://docs.google.com/spreadsheets/d/1iodCdmuK2GR3jzUwk8tpccY2JHQQA-87DLOtJP-ooyU/edit?usp=sharing"",""นราธิวาส!M363"")+IMPORTRANGE(""https://docs.google.com/spreadsheets/d/1SDNX3JhDdYRuIOsj0Wh2M-Qa_eaXl0NbWmh"&amp;"AOTbfQAs/edit?usp=sharing"",""ปัตตานี!M363"")+IMPORTRANGE(""https://docs.google.com/spreadsheets/d/16JDLGguT8s5DsGCND1KcwHP_AWR_zDMTqLHPLJUKhaU/edit?usp=sharing"",""พังงา!M363"")+IMPORTRANGE(""https://docs.google.com/spreadsheets/d/17ht0gPKzzT3PObBL1XJkeR"&amp;"mntBXI7wGjpLV7QorqlTk/edit?usp=sharing"",""พัทลุง!M363"")+IMPORTRANGE(""https://docs.google.com/spreadsheets/d/1rd4qoM1q_hsgaolqNGfrim9gbsoLxQsda4-vOz5x_BM/edit?usp=sharing"",""ภูเก็ต!M363"")+IMPORTRANGE(""https://docs.google.com/spreadsheets/d/1woKwKjgoL"&amp;"ssDvPcPeVyezB5izizAn4X1JDrys69n6xI/edit?usp=sharing"",""ยะลา!M363"")+IMPORTRANGE(""https://docs.google.com/spreadsheets/d/1qfrKjzMhm2HJfxQ-qVlJlJQ25Hne1d0khsySbZyGtPA/edit?usp=sharing"",""ระนอง!M363"")+IMPORTRANGE(""https://docs.google.com/spreadsheets/d/"&amp;"1IbSCnFOKpZsnFogBHJnL_isstZVaOMnFiIN0fGTPZZw/edit?usp=sharing"",""สงขลา!M363"")+IMPORTRANGE(""https://docs.google.com/spreadsheets/d/1q9nWasZJ-K8bFGvbE9n0qSRuKGA4Toe3Y89cKCiVtCU/edit?usp=sharing"",""สตูล!M363"")+IMPORTRANGE(""https://docs.google.com/sprea"&amp;"dsheets/d/18T20gbkS_WBjdscyTOV05cvq_JqvqQ17C81mpxf7Ncs/edit?usp=sharing"",""สุราษฎร์ธานี!M363"")"),0)</f>
        <v>0</v>
      </c>
      <c r="N363" s="59">
        <f ca="1">IFERROR(__xludf.DUMMYFUNCTION("IMPORTRANGE(""https://docs.google.com/spreadsheets/d/1kKUcYdkIfrgTSj8iHHHB2MD2FAtwyyocFgqGQn6ADyI/edit?usp=sharing"",""กระบี่!N363"")+IMPORTRANGE(""https://docs.google.com/spreadsheets/d/1GwtLaSlNZkLk7iDqcyZz22giiy40b_usZZBXYciEN1U/edit?usp=sharing"",""ชุ"&amp;"มพร!N363"")+IMPORTRANGE(""https://docs.google.com/spreadsheets/d/16pAz3pOhQEZBhvFNMa5KGgZS6iKWpsKX0pg6tQmwFpo/edit?usp=sharing"",""ตรัง!N363"")+IMPORTRANGE(""https://docs.google.com/spreadsheets/d/1Dj4jcHCTV9JXKCaMoheSXS52JE63kDKyG7bPXnFogHk/edit?usp=shar"&amp;"ing"",""นครศรีธรรมราช!N363"")+IMPORTRANGE(""https://docs.google.com/spreadsheets/d/1iodCdmuK2GR3jzUwk8tpccY2JHQQA-87DLOtJP-ooyU/edit?usp=sharing"",""นราธิวาส!N363"")+IMPORTRANGE(""https://docs.google.com/spreadsheets/d/1SDNX3JhDdYRuIOsj0Wh2M-Qa_eaXl0NbWmh"&amp;"AOTbfQAs/edit?usp=sharing"",""ปัตตานี!N363"")+IMPORTRANGE(""https://docs.google.com/spreadsheets/d/16JDLGguT8s5DsGCND1KcwHP_AWR_zDMTqLHPLJUKhaU/edit?usp=sharing"",""พังงา!N363"")+IMPORTRANGE(""https://docs.google.com/spreadsheets/d/17ht0gPKzzT3PObBL1XJkeR"&amp;"mntBXI7wGjpLV7QorqlTk/edit?usp=sharing"",""พัทลุง!N363"")+IMPORTRANGE(""https://docs.google.com/spreadsheets/d/1rd4qoM1q_hsgaolqNGfrim9gbsoLxQsda4-vOz5x_BM/edit?usp=sharing"",""ภูเก็ต!N363"")+IMPORTRANGE(""https://docs.google.com/spreadsheets/d/1woKwKjgoL"&amp;"ssDvPcPeVyezB5izizAn4X1JDrys69n6xI/edit?usp=sharing"",""ยะลา!N363"")+IMPORTRANGE(""https://docs.google.com/spreadsheets/d/1qfrKjzMhm2HJfxQ-qVlJlJQ25Hne1d0khsySbZyGtPA/edit?usp=sharing"",""ระนอง!N363"")+IMPORTRANGE(""https://docs.google.com/spreadsheets/d/"&amp;"1IbSCnFOKpZsnFogBHJnL_isstZVaOMnFiIN0fGTPZZw/edit?usp=sharing"",""สงขลา!N363"")+IMPORTRANGE(""https://docs.google.com/spreadsheets/d/1q9nWasZJ-K8bFGvbE9n0qSRuKGA4Toe3Y89cKCiVtCU/edit?usp=sharing"",""สตูล!N363"")+IMPORTRANGE(""https://docs.google.com/sprea"&amp;"dsheets/d/18T20gbkS_WBjdscyTOV05cvq_JqvqQ17C81mpxf7Ncs/edit?usp=sharing"",""สุราษฎร์ธานี!N363"")"),0)</f>
        <v>0</v>
      </c>
      <c r="O363" s="59">
        <f t="shared" ca="1" si="152"/>
        <v>0</v>
      </c>
      <c r="P363" s="59">
        <f t="shared" ca="1" si="153"/>
        <v>0</v>
      </c>
    </row>
    <row r="364" spans="1:16" ht="18.75" x14ac:dyDescent="0.25">
      <c r="A364" s="157"/>
      <c r="B364" s="53"/>
      <c r="C364" s="53"/>
      <c r="D364" s="53"/>
      <c r="E364" s="60" t="s">
        <v>19</v>
      </c>
      <c r="F364" s="53"/>
      <c r="G364" s="55"/>
      <c r="H364" s="166" t="s">
        <v>12</v>
      </c>
      <c r="I364" s="164"/>
      <c r="J364" s="164"/>
      <c r="K364" s="165"/>
      <c r="L364" s="59">
        <f ca="1">IFERROR(__xludf.DUMMYFUNCTION("IMPORTRANGE(""https://docs.google.com/spreadsheets/d/1kKUcYdkIfrgTSj8iHHHB2MD2FAtwyyocFgqGQn6ADyI/edit?usp=sharing"",""กระบี่!L364"")+IMPORTRANGE(""https://docs.google.com/spreadsheets/d/1GwtLaSlNZkLk7iDqcyZz22giiy40b_usZZBXYciEN1U/edit?usp=sharing"",""ชุ"&amp;"มพร!L364"")+IMPORTRANGE(""https://docs.google.com/spreadsheets/d/16pAz3pOhQEZBhvFNMa5KGgZS6iKWpsKX0pg6tQmwFpo/edit?usp=sharing"",""ตรัง!L364"")+IMPORTRANGE(""https://docs.google.com/spreadsheets/d/1Dj4jcHCTV9JXKCaMoheSXS52JE63kDKyG7bPXnFogHk/edit?usp=shar"&amp;"ing"",""นครศรีธรรมราช!L364"")+IMPORTRANGE(""https://docs.google.com/spreadsheets/d/1iodCdmuK2GR3jzUwk8tpccY2JHQQA-87DLOtJP-ooyU/edit?usp=sharing"",""นราธิวาส!L364"")+IMPORTRANGE(""https://docs.google.com/spreadsheets/d/1SDNX3JhDdYRuIOsj0Wh2M-Qa_eaXl0NbWmh"&amp;"AOTbfQAs/edit?usp=sharing"",""ปัตตานี!L364"")+IMPORTRANGE(""https://docs.google.com/spreadsheets/d/16JDLGguT8s5DsGCND1KcwHP_AWR_zDMTqLHPLJUKhaU/edit?usp=sharing"",""พังงา!L364"")+IMPORTRANGE(""https://docs.google.com/spreadsheets/d/17ht0gPKzzT3PObBL1XJkeR"&amp;"mntBXI7wGjpLV7QorqlTk/edit?usp=sharing"",""พัทลุง!L364"")+IMPORTRANGE(""https://docs.google.com/spreadsheets/d/1rd4qoM1q_hsgaolqNGfrim9gbsoLxQsda4-vOz5x_BM/edit?usp=sharing"",""ภูเก็ต!L364"")+IMPORTRANGE(""https://docs.google.com/spreadsheets/d/1woKwKjgoL"&amp;"ssDvPcPeVyezB5izizAn4X1JDrys69n6xI/edit?usp=sharing"",""ยะลา!L364"")+IMPORTRANGE(""https://docs.google.com/spreadsheets/d/1qfrKjzMhm2HJfxQ-qVlJlJQ25Hne1d0khsySbZyGtPA/edit?usp=sharing"",""ระนอง!L364"")+IMPORTRANGE(""https://docs.google.com/spreadsheets/d/"&amp;"1IbSCnFOKpZsnFogBHJnL_isstZVaOMnFiIN0fGTPZZw/edit?usp=sharing"",""สงขลา!L364"")+IMPORTRANGE(""https://docs.google.com/spreadsheets/d/1q9nWasZJ-K8bFGvbE9n0qSRuKGA4Toe3Y89cKCiVtCU/edit?usp=sharing"",""สตูล!L364"")+IMPORTRANGE(""https://docs.google.com/sprea"&amp;"dsheets/d/18T20gbkS_WBjdscyTOV05cvq_JqvqQ17C81mpxf7Ncs/edit?usp=sharing"",""สุราษฎร์ธานี!L364"")"),0)</f>
        <v>0</v>
      </c>
      <c r="M364" s="59">
        <f ca="1">IFERROR(__xludf.DUMMYFUNCTION("IMPORTRANGE(""https://docs.google.com/spreadsheets/d/1kKUcYdkIfrgTSj8iHHHB2MD2FAtwyyocFgqGQn6ADyI/edit?usp=sharing"",""กระบี่!M364"")+IMPORTRANGE(""https://docs.google.com/spreadsheets/d/1GwtLaSlNZkLk7iDqcyZz22giiy40b_usZZBXYciEN1U/edit?usp=sharing"",""ชุ"&amp;"มพร!M364"")+IMPORTRANGE(""https://docs.google.com/spreadsheets/d/16pAz3pOhQEZBhvFNMa5KGgZS6iKWpsKX0pg6tQmwFpo/edit?usp=sharing"",""ตรัง!M364"")+IMPORTRANGE(""https://docs.google.com/spreadsheets/d/1Dj4jcHCTV9JXKCaMoheSXS52JE63kDKyG7bPXnFogHk/edit?usp=shar"&amp;"ing"",""นครศรีธรรมราช!M364"")+IMPORTRANGE(""https://docs.google.com/spreadsheets/d/1iodCdmuK2GR3jzUwk8tpccY2JHQQA-87DLOtJP-ooyU/edit?usp=sharing"",""นราธิวาส!M364"")+IMPORTRANGE(""https://docs.google.com/spreadsheets/d/1SDNX3JhDdYRuIOsj0Wh2M-Qa_eaXl0NbWmh"&amp;"AOTbfQAs/edit?usp=sharing"",""ปัตตานี!M364"")+IMPORTRANGE(""https://docs.google.com/spreadsheets/d/16JDLGguT8s5DsGCND1KcwHP_AWR_zDMTqLHPLJUKhaU/edit?usp=sharing"",""พังงา!M364"")+IMPORTRANGE(""https://docs.google.com/spreadsheets/d/17ht0gPKzzT3PObBL1XJkeR"&amp;"mntBXI7wGjpLV7QorqlTk/edit?usp=sharing"",""พัทลุง!M364"")+IMPORTRANGE(""https://docs.google.com/spreadsheets/d/1rd4qoM1q_hsgaolqNGfrim9gbsoLxQsda4-vOz5x_BM/edit?usp=sharing"",""ภูเก็ต!M364"")+IMPORTRANGE(""https://docs.google.com/spreadsheets/d/1woKwKjgoL"&amp;"ssDvPcPeVyezB5izizAn4X1JDrys69n6xI/edit?usp=sharing"",""ยะลา!M364"")+IMPORTRANGE(""https://docs.google.com/spreadsheets/d/1qfrKjzMhm2HJfxQ-qVlJlJQ25Hne1d0khsySbZyGtPA/edit?usp=sharing"",""ระนอง!M364"")+IMPORTRANGE(""https://docs.google.com/spreadsheets/d/"&amp;"1IbSCnFOKpZsnFogBHJnL_isstZVaOMnFiIN0fGTPZZw/edit?usp=sharing"",""สงขลา!M364"")+IMPORTRANGE(""https://docs.google.com/spreadsheets/d/1q9nWasZJ-K8bFGvbE9n0qSRuKGA4Toe3Y89cKCiVtCU/edit?usp=sharing"",""สตูล!M364"")+IMPORTRANGE(""https://docs.google.com/sprea"&amp;"dsheets/d/18T20gbkS_WBjdscyTOV05cvq_JqvqQ17C81mpxf7Ncs/edit?usp=sharing"",""สุราษฎร์ธานี!M364"")"),0)</f>
        <v>0</v>
      </c>
      <c r="N364" s="59">
        <f ca="1">IFERROR(__xludf.DUMMYFUNCTION("IMPORTRANGE(""https://docs.google.com/spreadsheets/d/1kKUcYdkIfrgTSj8iHHHB2MD2FAtwyyocFgqGQn6ADyI/edit?usp=sharing"",""กระบี่!N364"")+IMPORTRANGE(""https://docs.google.com/spreadsheets/d/1GwtLaSlNZkLk7iDqcyZz22giiy40b_usZZBXYciEN1U/edit?usp=sharing"",""ชุ"&amp;"มพร!N364"")+IMPORTRANGE(""https://docs.google.com/spreadsheets/d/16pAz3pOhQEZBhvFNMa5KGgZS6iKWpsKX0pg6tQmwFpo/edit?usp=sharing"",""ตรัง!N364"")+IMPORTRANGE(""https://docs.google.com/spreadsheets/d/1Dj4jcHCTV9JXKCaMoheSXS52JE63kDKyG7bPXnFogHk/edit?usp=shar"&amp;"ing"",""นครศรีธรรมราช!N364"")+IMPORTRANGE(""https://docs.google.com/spreadsheets/d/1iodCdmuK2GR3jzUwk8tpccY2JHQQA-87DLOtJP-ooyU/edit?usp=sharing"",""นราธิวาส!N364"")+IMPORTRANGE(""https://docs.google.com/spreadsheets/d/1SDNX3JhDdYRuIOsj0Wh2M-Qa_eaXl0NbWmh"&amp;"AOTbfQAs/edit?usp=sharing"",""ปัตตานี!N364"")+IMPORTRANGE(""https://docs.google.com/spreadsheets/d/16JDLGguT8s5DsGCND1KcwHP_AWR_zDMTqLHPLJUKhaU/edit?usp=sharing"",""พังงา!N364"")+IMPORTRANGE(""https://docs.google.com/spreadsheets/d/17ht0gPKzzT3PObBL1XJkeR"&amp;"mntBXI7wGjpLV7QorqlTk/edit?usp=sharing"",""พัทลุง!N364"")+IMPORTRANGE(""https://docs.google.com/spreadsheets/d/1rd4qoM1q_hsgaolqNGfrim9gbsoLxQsda4-vOz5x_BM/edit?usp=sharing"",""ภูเก็ต!N364"")+IMPORTRANGE(""https://docs.google.com/spreadsheets/d/1woKwKjgoL"&amp;"ssDvPcPeVyezB5izizAn4X1JDrys69n6xI/edit?usp=sharing"",""ยะลา!N364"")+IMPORTRANGE(""https://docs.google.com/spreadsheets/d/1qfrKjzMhm2HJfxQ-qVlJlJQ25Hne1d0khsySbZyGtPA/edit?usp=sharing"",""ระนอง!N364"")+IMPORTRANGE(""https://docs.google.com/spreadsheets/d/"&amp;"1IbSCnFOKpZsnFogBHJnL_isstZVaOMnFiIN0fGTPZZw/edit?usp=sharing"",""สงขลา!N364"")+IMPORTRANGE(""https://docs.google.com/spreadsheets/d/1q9nWasZJ-K8bFGvbE9n0qSRuKGA4Toe3Y89cKCiVtCU/edit?usp=sharing"",""สตูล!N364"")+IMPORTRANGE(""https://docs.google.com/sprea"&amp;"dsheets/d/18T20gbkS_WBjdscyTOV05cvq_JqvqQ17C81mpxf7Ncs/edit?usp=sharing"",""สุราษฎร์ธานี!N364"")"),0)</f>
        <v>0</v>
      </c>
      <c r="O364" s="59">
        <f t="shared" ca="1" si="152"/>
        <v>0</v>
      </c>
      <c r="P364" s="59">
        <f t="shared" ca="1" si="153"/>
        <v>0</v>
      </c>
    </row>
    <row r="365" spans="1:16" ht="19.5" x14ac:dyDescent="0.3">
      <c r="A365" s="279"/>
      <c r="B365" s="280"/>
      <c r="C365" s="282"/>
      <c r="D365" s="442" t="s">
        <v>142</v>
      </c>
      <c r="E365" s="282"/>
      <c r="F365" s="282"/>
      <c r="G365" s="283"/>
      <c r="H365" s="443" t="s">
        <v>33</v>
      </c>
      <c r="I365" s="444">
        <f t="shared" ref="I365:J365" ca="1" si="158">I371</f>
        <v>1780</v>
      </c>
      <c r="J365" s="445">
        <f t="shared" ca="1" si="158"/>
        <v>935</v>
      </c>
      <c r="K365" s="446">
        <f ca="1">IF(I365&gt;0,J365*100/I365,0)</f>
        <v>52.528089887640448</v>
      </c>
      <c r="L365" s="287"/>
      <c r="M365" s="287"/>
      <c r="N365" s="287"/>
      <c r="O365" s="287"/>
      <c r="P365" s="287"/>
    </row>
    <row r="366" spans="1:16" ht="19.5" x14ac:dyDescent="0.3">
      <c r="A366" s="167"/>
      <c r="B366" s="168"/>
      <c r="C366" s="158" t="s">
        <v>16</v>
      </c>
      <c r="D366" s="169" t="s">
        <v>36</v>
      </c>
      <c r="E366" s="170"/>
      <c r="F366" s="170"/>
      <c r="G366" s="171"/>
      <c r="H366" s="172"/>
      <c r="I366" s="57"/>
      <c r="J366" s="57"/>
      <c r="K366" s="58"/>
      <c r="L366" s="165"/>
      <c r="M366" s="165"/>
      <c r="N366" s="165"/>
      <c r="O366" s="165"/>
      <c r="P366" s="165"/>
    </row>
    <row r="367" spans="1:16" ht="18.75" x14ac:dyDescent="0.25">
      <c r="A367" s="167"/>
      <c r="B367" s="174"/>
      <c r="C367" s="168"/>
      <c r="D367" s="174"/>
      <c r="E367" s="173" t="s">
        <v>143</v>
      </c>
      <c r="F367" s="174"/>
      <c r="G367" s="172"/>
      <c r="H367" s="183" t="s">
        <v>33</v>
      </c>
      <c r="I367" s="194">
        <v>0</v>
      </c>
      <c r="J367" s="181">
        <f ca="1">IFERROR(__xludf.DUMMYFUNCTION("IMPORTRANGE(""https://docs.google.com/spreadsheets/d/1kKUcYdkIfrgTSj8iHHHB2MD2FAtwyyocFgqGQn6ADyI/edit?usp=sharing"",""กระบี่!J367"")+IMPORTRANGE(""https://docs.google.com/spreadsheets/d/1GwtLaSlNZkLk7iDqcyZz22giiy40b_usZZBXYciEN1U/edit?usp=sharing"",""ชุ"&amp;"มพร!J367"")+IMPORTRANGE(""https://docs.google.com/spreadsheets/d/16pAz3pOhQEZBhvFNMa5KGgZS6iKWpsKX0pg6tQmwFpo/edit?usp=sharing"",""ตรัง!J367"")+IMPORTRANGE(""https://docs.google.com/spreadsheets/d/1Dj4jcHCTV9JXKCaMoheSXS52JE63kDKyG7bPXnFogHk/edit?usp=shar"&amp;"ing"",""นครศรีธรรมราช!J367"")+IMPORTRANGE(""https://docs.google.com/spreadsheets/d/1iodCdmuK2GR3jzUwk8tpccY2JHQQA-87DLOtJP-ooyU/edit?usp=sharing"",""นราธิวาส!J367"")+IMPORTRANGE(""https://docs.google.com/spreadsheets/d/1SDNX3JhDdYRuIOsj0Wh2M-Qa_eaXl0NbWmh"&amp;"AOTbfQAs/edit?usp=sharing"",""ปัตตานี!J367"")+IMPORTRANGE(""https://docs.google.com/spreadsheets/d/16JDLGguT8s5DsGCND1KcwHP_AWR_zDMTqLHPLJUKhaU/edit?usp=sharing"",""พังงา!J367"")+IMPORTRANGE(""https://docs.google.com/spreadsheets/d/17ht0gPKzzT3PObBL1XJkeR"&amp;"mntBXI7wGjpLV7QorqlTk/edit?usp=sharing"",""พัทลุง!J367"")+IMPORTRANGE(""https://docs.google.com/spreadsheets/d/1rd4qoM1q_hsgaolqNGfrim9gbsoLxQsda4-vOz5x_BM/edit?usp=sharing"",""ภูเก็ต!J367"")+IMPORTRANGE(""https://docs.google.com/spreadsheets/d/1woKwKjgoL"&amp;"ssDvPcPeVyezB5izizAn4X1JDrys69n6xI/edit?usp=sharing"",""ยะลา!J367"")+IMPORTRANGE(""https://docs.google.com/spreadsheets/d/1qfrKjzMhm2HJfxQ-qVlJlJQ25Hne1d0khsySbZyGtPA/edit?usp=sharing"",""ระนอง!J367"")+IMPORTRANGE(""https://docs.google.com/spreadsheets/d/"&amp;"1IbSCnFOKpZsnFogBHJnL_isstZVaOMnFiIN0fGTPZZw/edit?usp=sharing"",""สงขลา!J367"")+IMPORTRANGE(""https://docs.google.com/spreadsheets/d/1q9nWasZJ-K8bFGvbE9n0qSRuKGA4Toe3Y89cKCiVtCU/edit?usp=sharing"",""สตูล!J367"")+IMPORTRANGE(""https://docs.google.com/sprea"&amp;"dsheets/d/18T20gbkS_WBjdscyTOV05cvq_JqvqQ17C81mpxf7Ncs/edit?usp=sharing"",""สุราษฎร์ธานี!J367"")"),212)</f>
        <v>212</v>
      </c>
      <c r="K367" s="59">
        <f t="shared" ref="K367:K372" si="159">IF(I367&gt;0,J367*100/I367,0)</f>
        <v>0</v>
      </c>
      <c r="L367" s="165"/>
      <c r="M367" s="165"/>
      <c r="N367" s="165"/>
      <c r="O367" s="165"/>
      <c r="P367" s="165"/>
    </row>
    <row r="368" spans="1:16" ht="18.75" x14ac:dyDescent="0.25">
      <c r="A368" s="167"/>
      <c r="B368" s="174"/>
      <c r="C368" s="168"/>
      <c r="D368" s="174"/>
      <c r="E368" s="174"/>
      <c r="F368" s="174"/>
      <c r="G368" s="172"/>
      <c r="H368" s="183" t="s">
        <v>44</v>
      </c>
      <c r="I368" s="181">
        <f ca="1">IFERROR(__xludf.DUMMYFUNCTION("IMPORTRANGE(""https://docs.google.com/spreadsheets/d/1kKUcYdkIfrgTSj8iHHHB2MD2FAtwyyocFgqGQn6ADyI/edit?usp=sharing"",""กระบี่!I368"")+IMPORTRANGE(""https://docs.google.com/spreadsheets/d/1GwtLaSlNZkLk7iDqcyZz22giiy40b_usZZBXYciEN1U/edit?usp=sharing"",""ชุ"&amp;"มพร!I368"")+IMPORTRANGE(""https://docs.google.com/spreadsheets/d/16pAz3pOhQEZBhvFNMa5KGgZS6iKWpsKX0pg6tQmwFpo/edit?usp=sharing"",""ตรัง!I368"")+IMPORTRANGE(""https://docs.google.com/spreadsheets/d/1Dj4jcHCTV9JXKCaMoheSXS52JE63kDKyG7bPXnFogHk/edit?usp=shar"&amp;"ing"",""นครศรีธรรมราช!I368"")+IMPORTRANGE(""https://docs.google.com/spreadsheets/d/1iodCdmuK2GR3jzUwk8tpccY2JHQQA-87DLOtJP-ooyU/edit?usp=sharing"",""นราธิวาส!I368"")+IMPORTRANGE(""https://docs.google.com/spreadsheets/d/1SDNX3JhDdYRuIOsj0Wh2M-Qa_eaXl0NbWmh"&amp;"AOTbfQAs/edit?usp=sharing"",""ปัตตานี!I368"")+IMPORTRANGE(""https://docs.google.com/spreadsheets/d/16JDLGguT8s5DsGCND1KcwHP_AWR_zDMTqLHPLJUKhaU/edit?usp=sharing"",""พังงา!I368"")+IMPORTRANGE(""https://docs.google.com/spreadsheets/d/17ht0gPKzzT3PObBL1XJkeR"&amp;"mntBXI7wGjpLV7QorqlTk/edit?usp=sharing"",""พัทลุง!I368"")+IMPORTRANGE(""https://docs.google.com/spreadsheets/d/1rd4qoM1q_hsgaolqNGfrim9gbsoLxQsda4-vOz5x_BM/edit?usp=sharing"",""ภูเก็ต!I368"")+IMPORTRANGE(""https://docs.google.com/spreadsheets/d/1woKwKjgoL"&amp;"ssDvPcPeVyezB5izizAn4X1JDrys69n6xI/edit?usp=sharing"",""ยะลา!I368"")+IMPORTRANGE(""https://docs.google.com/spreadsheets/d/1qfrKjzMhm2HJfxQ-qVlJlJQ25Hne1d0khsySbZyGtPA/edit?usp=sharing"",""ระนอง!I368"")+IMPORTRANGE(""https://docs.google.com/spreadsheets/d/"&amp;"1IbSCnFOKpZsnFogBHJnL_isstZVaOMnFiIN0fGTPZZw/edit?usp=sharing"",""สงขลา!I368"")+IMPORTRANGE(""https://docs.google.com/spreadsheets/d/1q9nWasZJ-K8bFGvbE9n0qSRuKGA4Toe3Y89cKCiVtCU/edit?usp=sharing"",""สตูล!I368"")+IMPORTRANGE(""https://docs.google.com/sprea"&amp;"dsheets/d/18T20gbkS_WBjdscyTOV05cvq_JqvqQ17C81mpxf7Ncs/edit?usp=sharing"",""สุราษฎร์ธานี!I368"")"),15810)</f>
        <v>15810</v>
      </c>
      <c r="J368" s="181">
        <f ca="1">IFERROR(__xludf.DUMMYFUNCTION("IMPORTRANGE(""https://docs.google.com/spreadsheets/d/1kKUcYdkIfrgTSj8iHHHB2MD2FAtwyyocFgqGQn6ADyI/edit?usp=sharing"",""กระบี่!J368"")+IMPORTRANGE(""https://docs.google.com/spreadsheets/d/1GwtLaSlNZkLk7iDqcyZz22giiy40b_usZZBXYciEN1U/edit?usp=sharing"",""ชุ"&amp;"มพร!J368"")+IMPORTRANGE(""https://docs.google.com/spreadsheets/d/16pAz3pOhQEZBhvFNMa5KGgZS6iKWpsKX0pg6tQmwFpo/edit?usp=sharing"",""ตรัง!J368"")+IMPORTRANGE(""https://docs.google.com/spreadsheets/d/1Dj4jcHCTV9JXKCaMoheSXS52JE63kDKyG7bPXnFogHk/edit?usp=shar"&amp;"ing"",""นครศรีธรรมราช!J368"")+IMPORTRANGE(""https://docs.google.com/spreadsheets/d/1iodCdmuK2GR3jzUwk8tpccY2JHQQA-87DLOtJP-ooyU/edit?usp=sharing"",""นราธิวาส!J368"")+IMPORTRANGE(""https://docs.google.com/spreadsheets/d/1SDNX3JhDdYRuIOsj0Wh2M-Qa_eaXl0NbWmh"&amp;"AOTbfQAs/edit?usp=sharing"",""ปัตตานี!J368"")+IMPORTRANGE(""https://docs.google.com/spreadsheets/d/16JDLGguT8s5DsGCND1KcwHP_AWR_zDMTqLHPLJUKhaU/edit?usp=sharing"",""พังงา!J368"")+IMPORTRANGE(""https://docs.google.com/spreadsheets/d/17ht0gPKzzT3PObBL1XJkeR"&amp;"mntBXI7wGjpLV7QorqlTk/edit?usp=sharing"",""พัทลุง!J368"")+IMPORTRANGE(""https://docs.google.com/spreadsheets/d/1rd4qoM1q_hsgaolqNGfrim9gbsoLxQsda4-vOz5x_BM/edit?usp=sharing"",""ภูเก็ต!J368"")+IMPORTRANGE(""https://docs.google.com/spreadsheets/d/1woKwKjgoL"&amp;"ssDvPcPeVyezB5izizAn4X1JDrys69n6xI/edit?usp=sharing"",""ยะลา!J368"")+IMPORTRANGE(""https://docs.google.com/spreadsheets/d/1qfrKjzMhm2HJfxQ-qVlJlJQ25Hne1d0khsySbZyGtPA/edit?usp=sharing"",""ระนอง!J368"")+IMPORTRANGE(""https://docs.google.com/spreadsheets/d/"&amp;"1IbSCnFOKpZsnFogBHJnL_isstZVaOMnFiIN0fGTPZZw/edit?usp=sharing"",""สงขลา!J368"")+IMPORTRANGE(""https://docs.google.com/spreadsheets/d/1q9nWasZJ-K8bFGvbE9n0qSRuKGA4Toe3Y89cKCiVtCU/edit?usp=sharing"",""สตูล!J368"")+IMPORTRANGE(""https://docs.google.com/sprea"&amp;"dsheets/d/18T20gbkS_WBjdscyTOV05cvq_JqvqQ17C81mpxf7Ncs/edit?usp=sharing"",""สุราษฎร์ธานี!J368"")"),1720.42999999999)</f>
        <v>1720.4299999999901</v>
      </c>
      <c r="K368" s="59">
        <f t="shared" ca="1" si="159"/>
        <v>10.881910183428147</v>
      </c>
      <c r="L368" s="165"/>
      <c r="M368" s="165"/>
      <c r="N368" s="165"/>
      <c r="O368" s="165"/>
      <c r="P368" s="165"/>
    </row>
    <row r="369" spans="1:16" ht="18.75" x14ac:dyDescent="0.25">
      <c r="A369" s="167"/>
      <c r="B369" s="174"/>
      <c r="C369" s="168"/>
      <c r="D369" s="174"/>
      <c r="E369" s="173" t="s">
        <v>144</v>
      </c>
      <c r="F369" s="174"/>
      <c r="G369" s="172"/>
      <c r="H369" s="179" t="s">
        <v>33</v>
      </c>
      <c r="I369" s="181">
        <f ca="1">IFERROR(__xludf.DUMMYFUNCTION("IMPORTRANGE(""https://docs.google.com/spreadsheets/d/1kKUcYdkIfrgTSj8iHHHB2MD2FAtwyyocFgqGQn6ADyI/edit?usp=sharing"",""กระบี่!I369"")+IMPORTRANGE(""https://docs.google.com/spreadsheets/d/1GwtLaSlNZkLk7iDqcyZz22giiy40b_usZZBXYciEN1U/edit?usp=sharing"",""ชุ"&amp;"มพร!I369"")+IMPORTRANGE(""https://docs.google.com/spreadsheets/d/16pAz3pOhQEZBhvFNMa5KGgZS6iKWpsKX0pg6tQmwFpo/edit?usp=sharing"",""ตรัง!I369"")+IMPORTRANGE(""https://docs.google.com/spreadsheets/d/1Dj4jcHCTV9JXKCaMoheSXS52JE63kDKyG7bPXnFogHk/edit?usp=shar"&amp;"ing"",""นครศรีธรรมราช!I369"")+IMPORTRANGE(""https://docs.google.com/spreadsheets/d/1iodCdmuK2GR3jzUwk8tpccY2JHQQA-87DLOtJP-ooyU/edit?usp=sharing"",""นราธิวาส!I369"")+IMPORTRANGE(""https://docs.google.com/spreadsheets/d/1SDNX3JhDdYRuIOsj0Wh2M-Qa_eaXl0NbWmh"&amp;"AOTbfQAs/edit?usp=sharing"",""ปัตตานี!I369"")+IMPORTRANGE(""https://docs.google.com/spreadsheets/d/16JDLGguT8s5DsGCND1KcwHP_AWR_zDMTqLHPLJUKhaU/edit?usp=sharing"",""พังงา!I369"")+IMPORTRANGE(""https://docs.google.com/spreadsheets/d/17ht0gPKzzT3PObBL1XJkeR"&amp;"mntBXI7wGjpLV7QorqlTk/edit?usp=sharing"",""พัทลุง!I369"")+IMPORTRANGE(""https://docs.google.com/spreadsheets/d/1rd4qoM1q_hsgaolqNGfrim9gbsoLxQsda4-vOz5x_BM/edit?usp=sharing"",""ภูเก็ต!I369"")+IMPORTRANGE(""https://docs.google.com/spreadsheets/d/1woKwKjgoL"&amp;"ssDvPcPeVyezB5izizAn4X1JDrys69n6xI/edit?usp=sharing"",""ยะลา!I369"")+IMPORTRANGE(""https://docs.google.com/spreadsheets/d/1qfrKjzMhm2HJfxQ-qVlJlJQ25Hne1d0khsySbZyGtPA/edit?usp=sharing"",""ระนอง!I369"")+IMPORTRANGE(""https://docs.google.com/spreadsheets/d/"&amp;"1IbSCnFOKpZsnFogBHJnL_isstZVaOMnFiIN0fGTPZZw/edit?usp=sharing"",""สงขลา!I369"")+IMPORTRANGE(""https://docs.google.com/spreadsheets/d/1q9nWasZJ-K8bFGvbE9n0qSRuKGA4Toe3Y89cKCiVtCU/edit?usp=sharing"",""สตูล!I369"")+IMPORTRANGE(""https://docs.google.com/sprea"&amp;"dsheets/d/18T20gbkS_WBjdscyTOV05cvq_JqvqQ17C81mpxf7Ncs/edit?usp=sharing"",""สุราษฎร์ธานี!I369"")"),2675)</f>
        <v>2675</v>
      </c>
      <c r="J369" s="181">
        <f ca="1">IFERROR(__xludf.DUMMYFUNCTION("IMPORTRANGE(""https://docs.google.com/spreadsheets/d/1kKUcYdkIfrgTSj8iHHHB2MD2FAtwyyocFgqGQn6ADyI/edit?usp=sharing"",""กระบี่!J369"")+IMPORTRANGE(""https://docs.google.com/spreadsheets/d/1GwtLaSlNZkLk7iDqcyZz22giiy40b_usZZBXYciEN1U/edit?usp=sharing"",""ชุ"&amp;"มพร!J369"")+IMPORTRANGE(""https://docs.google.com/spreadsheets/d/16pAz3pOhQEZBhvFNMa5KGgZS6iKWpsKX0pg6tQmwFpo/edit?usp=sharing"",""ตรัง!J369"")+IMPORTRANGE(""https://docs.google.com/spreadsheets/d/1Dj4jcHCTV9JXKCaMoheSXS52JE63kDKyG7bPXnFogHk/edit?usp=shar"&amp;"ing"",""นครศรีธรรมราช!J369"")+IMPORTRANGE(""https://docs.google.com/spreadsheets/d/1iodCdmuK2GR3jzUwk8tpccY2JHQQA-87DLOtJP-ooyU/edit?usp=sharing"",""นราธิวาส!J369"")+IMPORTRANGE(""https://docs.google.com/spreadsheets/d/1SDNX3JhDdYRuIOsj0Wh2M-Qa_eaXl0NbWmh"&amp;"AOTbfQAs/edit?usp=sharing"",""ปัตตานี!J369"")+IMPORTRANGE(""https://docs.google.com/spreadsheets/d/16JDLGguT8s5DsGCND1KcwHP_AWR_zDMTqLHPLJUKhaU/edit?usp=sharing"",""พังงา!J369"")+IMPORTRANGE(""https://docs.google.com/spreadsheets/d/17ht0gPKzzT3PObBL1XJkeR"&amp;"mntBXI7wGjpLV7QorqlTk/edit?usp=sharing"",""พัทลุง!J369"")+IMPORTRANGE(""https://docs.google.com/spreadsheets/d/1rd4qoM1q_hsgaolqNGfrim9gbsoLxQsda4-vOz5x_BM/edit?usp=sharing"",""ภูเก็ต!J369"")+IMPORTRANGE(""https://docs.google.com/spreadsheets/d/1woKwKjgoL"&amp;"ssDvPcPeVyezB5izizAn4X1JDrys69n6xI/edit?usp=sharing"",""ยะลา!J369"")+IMPORTRANGE(""https://docs.google.com/spreadsheets/d/1qfrKjzMhm2HJfxQ-qVlJlJQ25Hne1d0khsySbZyGtPA/edit?usp=sharing"",""ระนอง!J369"")+IMPORTRANGE(""https://docs.google.com/spreadsheets/d/"&amp;"1IbSCnFOKpZsnFogBHJnL_isstZVaOMnFiIN0fGTPZZw/edit?usp=sharing"",""สงขลา!J369"")+IMPORTRANGE(""https://docs.google.com/spreadsheets/d/1q9nWasZJ-K8bFGvbE9n0qSRuKGA4Toe3Y89cKCiVtCU/edit?usp=sharing"",""สตูล!J369"")+IMPORTRANGE(""https://docs.google.com/sprea"&amp;"dsheets/d/18T20gbkS_WBjdscyTOV05cvq_JqvqQ17C81mpxf7Ncs/edit?usp=sharing"",""สุราษฎร์ธานี!J369"")"),996)</f>
        <v>996</v>
      </c>
      <c r="K369" s="59">
        <f t="shared" ca="1" si="159"/>
        <v>37.233644859813083</v>
      </c>
      <c r="L369" s="165"/>
      <c r="M369" s="165"/>
      <c r="N369" s="165"/>
      <c r="O369" s="165"/>
      <c r="P369" s="165"/>
    </row>
    <row r="370" spans="1:16" ht="18.75" x14ac:dyDescent="0.25">
      <c r="A370" s="167"/>
      <c r="B370" s="174"/>
      <c r="C370" s="168"/>
      <c r="D370" s="174"/>
      <c r="E370" s="174"/>
      <c r="F370" s="174"/>
      <c r="G370" s="172"/>
      <c r="H370" s="179" t="s">
        <v>44</v>
      </c>
      <c r="I370" s="194">
        <v>0</v>
      </c>
      <c r="J370" s="181">
        <f ca="1">IFERROR(__xludf.DUMMYFUNCTION("IMPORTRANGE(""https://docs.google.com/spreadsheets/d/1kKUcYdkIfrgTSj8iHHHB2MD2FAtwyyocFgqGQn6ADyI/edit?usp=sharing"",""กระบี่!J370"")+IMPORTRANGE(""https://docs.google.com/spreadsheets/d/1GwtLaSlNZkLk7iDqcyZz22giiy40b_usZZBXYciEN1U/edit?usp=sharing"",""ชุ"&amp;"มพร!J370"")+IMPORTRANGE(""https://docs.google.com/spreadsheets/d/16pAz3pOhQEZBhvFNMa5KGgZS6iKWpsKX0pg6tQmwFpo/edit?usp=sharing"",""ตรัง!J370"")+IMPORTRANGE(""https://docs.google.com/spreadsheets/d/1Dj4jcHCTV9JXKCaMoheSXS52JE63kDKyG7bPXnFogHk/edit?usp=shar"&amp;"ing"",""นครศรีธรรมราช!J370"")+IMPORTRANGE(""https://docs.google.com/spreadsheets/d/1iodCdmuK2GR3jzUwk8tpccY2JHQQA-87DLOtJP-ooyU/edit?usp=sharing"",""นราธิวาส!J370"")+IMPORTRANGE(""https://docs.google.com/spreadsheets/d/1SDNX3JhDdYRuIOsj0Wh2M-Qa_eaXl0NbWmh"&amp;"AOTbfQAs/edit?usp=sharing"",""ปัตตานี!J370"")+IMPORTRANGE(""https://docs.google.com/spreadsheets/d/16JDLGguT8s5DsGCND1KcwHP_AWR_zDMTqLHPLJUKhaU/edit?usp=sharing"",""พังงา!J370"")+IMPORTRANGE(""https://docs.google.com/spreadsheets/d/17ht0gPKzzT3PObBL1XJkeR"&amp;"mntBXI7wGjpLV7QorqlTk/edit?usp=sharing"",""พัทลุง!J370"")+IMPORTRANGE(""https://docs.google.com/spreadsheets/d/1rd4qoM1q_hsgaolqNGfrim9gbsoLxQsda4-vOz5x_BM/edit?usp=sharing"",""ภูเก็ต!J370"")+IMPORTRANGE(""https://docs.google.com/spreadsheets/d/1woKwKjgoL"&amp;"ssDvPcPeVyezB5izizAn4X1JDrys69n6xI/edit?usp=sharing"",""ยะลา!J370"")+IMPORTRANGE(""https://docs.google.com/spreadsheets/d/1qfrKjzMhm2HJfxQ-qVlJlJQ25Hne1d0khsySbZyGtPA/edit?usp=sharing"",""ระนอง!J370"")+IMPORTRANGE(""https://docs.google.com/spreadsheets/d/"&amp;"1IbSCnFOKpZsnFogBHJnL_isstZVaOMnFiIN0fGTPZZw/edit?usp=sharing"",""สงขลา!J370"")+IMPORTRANGE(""https://docs.google.com/spreadsheets/d/1q9nWasZJ-K8bFGvbE9n0qSRuKGA4Toe3Y89cKCiVtCU/edit?usp=sharing"",""สตูล!J370"")+IMPORTRANGE(""https://docs.google.com/sprea"&amp;"dsheets/d/18T20gbkS_WBjdscyTOV05cvq_JqvqQ17C81mpxf7Ncs/edit?usp=sharing"",""สุราษฎร์ธานี!J370"")"),13494.74)</f>
        <v>13494.74</v>
      </c>
      <c r="K370" s="59">
        <f t="shared" si="159"/>
        <v>0</v>
      </c>
      <c r="L370" s="165"/>
      <c r="M370" s="165"/>
      <c r="N370" s="165"/>
      <c r="O370" s="165"/>
      <c r="P370" s="165"/>
    </row>
    <row r="371" spans="1:16" ht="18.75" x14ac:dyDescent="0.25">
      <c r="A371" s="167"/>
      <c r="B371" s="174"/>
      <c r="C371" s="168"/>
      <c r="D371" s="174"/>
      <c r="E371" s="447" t="s">
        <v>145</v>
      </c>
      <c r="F371" s="174"/>
      <c r="G371" s="172"/>
      <c r="H371" s="179" t="s">
        <v>33</v>
      </c>
      <c r="I371" s="181">
        <f ca="1">IFERROR(__xludf.DUMMYFUNCTION("IMPORTRANGE(""https://docs.google.com/spreadsheets/d/1kKUcYdkIfrgTSj8iHHHB2MD2FAtwyyocFgqGQn6ADyI/edit?usp=sharing"",""กระบี่!I371"")+IMPORTRANGE(""https://docs.google.com/spreadsheets/d/1GwtLaSlNZkLk7iDqcyZz22giiy40b_usZZBXYciEN1U/edit?usp=sharing"",""ชุ"&amp;"มพร!I371"")+IMPORTRANGE(""https://docs.google.com/spreadsheets/d/16pAz3pOhQEZBhvFNMa5KGgZS6iKWpsKX0pg6tQmwFpo/edit?usp=sharing"",""ตรัง!I371"")+IMPORTRANGE(""https://docs.google.com/spreadsheets/d/1Dj4jcHCTV9JXKCaMoheSXS52JE63kDKyG7bPXnFogHk/edit?usp=shar"&amp;"ing"",""นครศรีธรรมราช!I371"")+IMPORTRANGE(""https://docs.google.com/spreadsheets/d/1iodCdmuK2GR3jzUwk8tpccY2JHQQA-87DLOtJP-ooyU/edit?usp=sharing"",""นราธิวาส!I371"")+IMPORTRANGE(""https://docs.google.com/spreadsheets/d/1SDNX3JhDdYRuIOsj0Wh2M-Qa_eaXl0NbWmh"&amp;"AOTbfQAs/edit?usp=sharing"",""ปัตตานี!I371"")+IMPORTRANGE(""https://docs.google.com/spreadsheets/d/16JDLGguT8s5DsGCND1KcwHP_AWR_zDMTqLHPLJUKhaU/edit?usp=sharing"",""พังงา!I371"")+IMPORTRANGE(""https://docs.google.com/spreadsheets/d/17ht0gPKzzT3PObBL1XJkeR"&amp;"mntBXI7wGjpLV7QorqlTk/edit?usp=sharing"",""พัทลุง!I371"")+IMPORTRANGE(""https://docs.google.com/spreadsheets/d/1rd4qoM1q_hsgaolqNGfrim9gbsoLxQsda4-vOz5x_BM/edit?usp=sharing"",""ภูเก็ต!I371"")+IMPORTRANGE(""https://docs.google.com/spreadsheets/d/1woKwKjgoL"&amp;"ssDvPcPeVyezB5izizAn4X1JDrys69n6xI/edit?usp=sharing"",""ยะลา!I371"")+IMPORTRANGE(""https://docs.google.com/spreadsheets/d/1qfrKjzMhm2HJfxQ-qVlJlJQ25Hne1d0khsySbZyGtPA/edit?usp=sharing"",""ระนอง!I371"")+IMPORTRANGE(""https://docs.google.com/spreadsheets/d/"&amp;"1IbSCnFOKpZsnFogBHJnL_isstZVaOMnFiIN0fGTPZZw/edit?usp=sharing"",""สงขลา!I371"")+IMPORTRANGE(""https://docs.google.com/spreadsheets/d/1q9nWasZJ-K8bFGvbE9n0qSRuKGA4Toe3Y89cKCiVtCU/edit?usp=sharing"",""สตูล!I371"")+IMPORTRANGE(""https://docs.google.com/sprea"&amp;"dsheets/d/18T20gbkS_WBjdscyTOV05cvq_JqvqQ17C81mpxf7Ncs/edit?usp=sharing"",""สุราษฎร์ธานี!I371"")"),1780)</f>
        <v>1780</v>
      </c>
      <c r="J371" s="181">
        <f ca="1">IFERROR(__xludf.DUMMYFUNCTION("IMPORTRANGE(""https://docs.google.com/spreadsheets/d/1kKUcYdkIfrgTSj8iHHHB2MD2FAtwyyocFgqGQn6ADyI/edit?usp=sharing"",""กระบี่!J371"")+IMPORTRANGE(""https://docs.google.com/spreadsheets/d/1GwtLaSlNZkLk7iDqcyZz22giiy40b_usZZBXYciEN1U/edit?usp=sharing"",""ชุ"&amp;"มพร!J371"")+IMPORTRANGE(""https://docs.google.com/spreadsheets/d/16pAz3pOhQEZBhvFNMa5KGgZS6iKWpsKX0pg6tQmwFpo/edit?usp=sharing"",""ตรัง!J371"")+IMPORTRANGE(""https://docs.google.com/spreadsheets/d/1Dj4jcHCTV9JXKCaMoheSXS52JE63kDKyG7bPXnFogHk/edit?usp=shar"&amp;"ing"",""นครศรีธรรมราช!J371"")+IMPORTRANGE(""https://docs.google.com/spreadsheets/d/1iodCdmuK2GR3jzUwk8tpccY2JHQQA-87DLOtJP-ooyU/edit?usp=sharing"",""นราธิวาส!J371"")+IMPORTRANGE(""https://docs.google.com/spreadsheets/d/1SDNX3JhDdYRuIOsj0Wh2M-Qa_eaXl0NbWmh"&amp;"AOTbfQAs/edit?usp=sharing"",""ปัตตานี!J371"")+IMPORTRANGE(""https://docs.google.com/spreadsheets/d/16JDLGguT8s5DsGCND1KcwHP_AWR_zDMTqLHPLJUKhaU/edit?usp=sharing"",""พังงา!J371"")+IMPORTRANGE(""https://docs.google.com/spreadsheets/d/17ht0gPKzzT3PObBL1XJkeR"&amp;"mntBXI7wGjpLV7QorqlTk/edit?usp=sharing"",""พัทลุง!J371"")+IMPORTRANGE(""https://docs.google.com/spreadsheets/d/1rd4qoM1q_hsgaolqNGfrim9gbsoLxQsda4-vOz5x_BM/edit?usp=sharing"",""ภูเก็ต!J371"")+IMPORTRANGE(""https://docs.google.com/spreadsheets/d/1woKwKjgoL"&amp;"ssDvPcPeVyezB5izizAn4X1JDrys69n6xI/edit?usp=sharing"",""ยะลา!J371"")+IMPORTRANGE(""https://docs.google.com/spreadsheets/d/1qfrKjzMhm2HJfxQ-qVlJlJQ25Hne1d0khsySbZyGtPA/edit?usp=sharing"",""ระนอง!J371"")+IMPORTRANGE(""https://docs.google.com/spreadsheets/d/"&amp;"1IbSCnFOKpZsnFogBHJnL_isstZVaOMnFiIN0fGTPZZw/edit?usp=sharing"",""สงขลา!J371"")+IMPORTRANGE(""https://docs.google.com/spreadsheets/d/1q9nWasZJ-K8bFGvbE9n0qSRuKGA4Toe3Y89cKCiVtCU/edit?usp=sharing"",""สตูล!J371"")+IMPORTRANGE(""https://docs.google.com/sprea"&amp;"dsheets/d/18T20gbkS_WBjdscyTOV05cvq_JqvqQ17C81mpxf7Ncs/edit?usp=sharing"",""สุราษฎร์ธานี!J371"")"),935)</f>
        <v>935</v>
      </c>
      <c r="K371" s="59">
        <f t="shared" ca="1" si="159"/>
        <v>52.528089887640448</v>
      </c>
      <c r="L371" s="165"/>
      <c r="M371" s="165"/>
      <c r="N371" s="165"/>
      <c r="O371" s="165"/>
      <c r="P371" s="165"/>
    </row>
    <row r="372" spans="1:16" ht="18.75" x14ac:dyDescent="0.25">
      <c r="A372" s="448"/>
      <c r="B372" s="341"/>
      <c r="C372" s="339"/>
      <c r="D372" s="341"/>
      <c r="E372" s="341"/>
      <c r="F372" s="341"/>
      <c r="G372" s="342"/>
      <c r="H372" s="449" t="s">
        <v>44</v>
      </c>
      <c r="I372" s="343">
        <v>0</v>
      </c>
      <c r="J372" s="254">
        <f ca="1">IFERROR(__xludf.DUMMYFUNCTION("IMPORTRANGE(""https://docs.google.com/spreadsheets/d/1kKUcYdkIfrgTSj8iHHHB2MD2FAtwyyocFgqGQn6ADyI/edit?usp=sharing"",""กระบี่!J372"")+IMPORTRANGE(""https://docs.google.com/spreadsheets/d/1GwtLaSlNZkLk7iDqcyZz22giiy40b_usZZBXYciEN1U/edit?usp=sharing"",""ชุ"&amp;"มพร!J372"")+IMPORTRANGE(""https://docs.google.com/spreadsheets/d/16pAz3pOhQEZBhvFNMa5KGgZS6iKWpsKX0pg6tQmwFpo/edit?usp=sharing"",""ตรัง!J372"")+IMPORTRANGE(""https://docs.google.com/spreadsheets/d/1Dj4jcHCTV9JXKCaMoheSXS52JE63kDKyG7bPXnFogHk/edit?usp=shar"&amp;"ing"",""นครศรีธรรมราช!J372"")+IMPORTRANGE(""https://docs.google.com/spreadsheets/d/1iodCdmuK2GR3jzUwk8tpccY2JHQQA-87DLOtJP-ooyU/edit?usp=sharing"",""นราธิวาส!J372"")+IMPORTRANGE(""https://docs.google.com/spreadsheets/d/1SDNX3JhDdYRuIOsj0Wh2M-Qa_eaXl0NbWmh"&amp;"AOTbfQAs/edit?usp=sharing"",""ปัตตานี!J372"")+IMPORTRANGE(""https://docs.google.com/spreadsheets/d/16JDLGguT8s5DsGCND1KcwHP_AWR_zDMTqLHPLJUKhaU/edit?usp=sharing"",""พังงา!J372"")+IMPORTRANGE(""https://docs.google.com/spreadsheets/d/17ht0gPKzzT3PObBL1XJkeR"&amp;"mntBXI7wGjpLV7QorqlTk/edit?usp=sharing"",""พัทลุง!J372"")+IMPORTRANGE(""https://docs.google.com/spreadsheets/d/1rd4qoM1q_hsgaolqNGfrim9gbsoLxQsda4-vOz5x_BM/edit?usp=sharing"",""ภูเก็ต!J372"")+IMPORTRANGE(""https://docs.google.com/spreadsheets/d/1woKwKjgoL"&amp;"ssDvPcPeVyezB5izizAn4X1JDrys69n6xI/edit?usp=sharing"",""ยะลา!J372"")+IMPORTRANGE(""https://docs.google.com/spreadsheets/d/1qfrKjzMhm2HJfxQ-qVlJlJQ25Hne1d0khsySbZyGtPA/edit?usp=sharing"",""ระนอง!J372"")+IMPORTRANGE(""https://docs.google.com/spreadsheets/d/"&amp;"1IbSCnFOKpZsnFogBHJnL_isstZVaOMnFiIN0fGTPZZw/edit?usp=sharing"",""สงขลา!J372"")+IMPORTRANGE(""https://docs.google.com/spreadsheets/d/1q9nWasZJ-K8bFGvbE9n0qSRuKGA4Toe3Y89cKCiVtCU/edit?usp=sharing"",""สตูล!J372"")+IMPORTRANGE(""https://docs.google.com/sprea"&amp;"dsheets/d/18T20gbkS_WBjdscyTOV05cvq_JqvqQ17C81mpxf7Ncs/edit?usp=sharing"",""สุราษฎร์ธานี!J372"")"),12874.42)</f>
        <v>12874.42</v>
      </c>
      <c r="K372" s="139">
        <f t="shared" si="159"/>
        <v>0</v>
      </c>
      <c r="L372" s="345"/>
      <c r="M372" s="345"/>
      <c r="N372" s="345"/>
      <c r="O372" s="345"/>
      <c r="P372" s="345"/>
    </row>
    <row r="373" spans="1:16" ht="19.5" x14ac:dyDescent="0.3">
      <c r="A373" s="450"/>
      <c r="B373" s="451"/>
      <c r="C373" s="452"/>
      <c r="D373" s="453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454"/>
      <c r="F373" s="454"/>
      <c r="G373" s="454"/>
      <c r="H373" s="455"/>
      <c r="I373" s="456"/>
      <c r="J373" s="456"/>
      <c r="K373" s="457"/>
      <c r="L373" s="457"/>
      <c r="M373" s="457"/>
      <c r="N373" s="457"/>
      <c r="O373" s="457"/>
      <c r="P373" s="457"/>
    </row>
    <row r="374" spans="1:16" ht="19.5" x14ac:dyDescent="0.3">
      <c r="A374" s="458" t="s">
        <v>146</v>
      </c>
      <c r="B374" s="459"/>
      <c r="C374" s="459"/>
      <c r="D374" s="459"/>
      <c r="E374" s="460"/>
      <c r="F374" s="460"/>
      <c r="G374" s="460"/>
      <c r="H374" s="460"/>
      <c r="I374" s="461"/>
      <c r="J374" s="461"/>
      <c r="K374" s="462"/>
      <c r="L374" s="462"/>
      <c r="M374" s="462"/>
      <c r="N374" s="462"/>
      <c r="O374" s="462"/>
      <c r="P374" s="463"/>
    </row>
    <row r="375" spans="1:16" ht="19.5" x14ac:dyDescent="0.3">
      <c r="A375" s="464" t="s">
        <v>147</v>
      </c>
      <c r="B375" s="465"/>
      <c r="C375" s="465"/>
      <c r="D375" s="466"/>
      <c r="E375" s="465"/>
      <c r="F375" s="465"/>
      <c r="G375" s="465"/>
      <c r="H375" s="467"/>
      <c r="I375" s="468"/>
      <c r="J375" s="468"/>
      <c r="K375" s="469"/>
      <c r="L375" s="469"/>
      <c r="M375" s="469"/>
      <c r="N375" s="469"/>
      <c r="O375" s="469"/>
      <c r="P375" s="469"/>
    </row>
    <row r="376" spans="1:16" ht="19.5" x14ac:dyDescent="0.3">
      <c r="A376" s="470"/>
      <c r="B376" s="471" t="s">
        <v>148</v>
      </c>
      <c r="C376" s="472"/>
      <c r="D376" s="473"/>
      <c r="E376" s="473"/>
      <c r="F376" s="473"/>
      <c r="G376" s="474"/>
      <c r="H376" s="475" t="s">
        <v>54</v>
      </c>
      <c r="I376" s="476">
        <f t="shared" ref="I376:J376" si="160">I388</f>
        <v>0</v>
      </c>
      <c r="J376" s="476">
        <f t="shared" si="160"/>
        <v>0</v>
      </c>
      <c r="K376" s="477">
        <f>IF(I376&gt;0,J376*100/I376,0)</f>
        <v>0</v>
      </c>
      <c r="L376" s="478"/>
      <c r="M376" s="478"/>
      <c r="N376" s="478"/>
      <c r="O376" s="478"/>
      <c r="P376" s="478"/>
    </row>
    <row r="377" spans="1:16" ht="19.5" x14ac:dyDescent="0.3">
      <c r="A377" s="157"/>
      <c r="B377" s="53"/>
      <c r="C377" s="158" t="s">
        <v>16</v>
      </c>
      <c r="D377" s="159" t="s">
        <v>17</v>
      </c>
      <c r="E377" s="53"/>
      <c r="F377" s="53"/>
      <c r="G377" s="55"/>
      <c r="H377" s="160" t="s">
        <v>12</v>
      </c>
      <c r="I377" s="57"/>
      <c r="J377" s="57"/>
      <c r="K377" s="58"/>
      <c r="L377" s="161">
        <f t="shared" ref="L377:N377" ca="1" si="161">L378+L379</f>
        <v>12445400</v>
      </c>
      <c r="M377" s="161">
        <f t="shared" ca="1" si="161"/>
        <v>0</v>
      </c>
      <c r="N377" s="161">
        <f t="shared" ca="1" si="161"/>
        <v>0</v>
      </c>
      <c r="O377" s="161">
        <f t="shared" ref="O377:O385" ca="1" si="162">IF(L377&gt;0,N377*100/L377,0)</f>
        <v>0</v>
      </c>
      <c r="P377" s="161">
        <f t="shared" ref="P377:P385" ca="1" si="163">IF(M377&gt;0,N377*100/M377,0)</f>
        <v>0</v>
      </c>
    </row>
    <row r="378" spans="1:16" ht="18.75" x14ac:dyDescent="0.25">
      <c r="A378" s="157"/>
      <c r="B378" s="53"/>
      <c r="C378" s="53"/>
      <c r="D378" s="53"/>
      <c r="E378" s="60" t="s">
        <v>18</v>
      </c>
      <c r="F378" s="53"/>
      <c r="G378" s="55"/>
      <c r="H378" s="162" t="s">
        <v>12</v>
      </c>
      <c r="I378" s="57"/>
      <c r="J378" s="57"/>
      <c r="K378" s="58"/>
      <c r="L378" s="59">
        <f t="shared" ref="L378:N378" ca="1" si="164">L381+L384</f>
        <v>0</v>
      </c>
      <c r="M378" s="59">
        <f t="shared" ca="1" si="164"/>
        <v>0</v>
      </c>
      <c r="N378" s="59">
        <f t="shared" ca="1" si="164"/>
        <v>0</v>
      </c>
      <c r="O378" s="59">
        <f t="shared" ca="1" si="162"/>
        <v>0</v>
      </c>
      <c r="P378" s="59">
        <f t="shared" ca="1" si="163"/>
        <v>0</v>
      </c>
    </row>
    <row r="379" spans="1:16" ht="18.75" x14ac:dyDescent="0.25">
      <c r="A379" s="157"/>
      <c r="B379" s="53"/>
      <c r="C379" s="53"/>
      <c r="D379" s="53"/>
      <c r="E379" s="60" t="s">
        <v>19</v>
      </c>
      <c r="F379" s="53"/>
      <c r="G379" s="55"/>
      <c r="H379" s="162" t="s">
        <v>12</v>
      </c>
      <c r="I379" s="57"/>
      <c r="J379" s="57"/>
      <c r="K379" s="58"/>
      <c r="L379" s="59">
        <f t="shared" ref="L379:N379" ca="1" si="165">L382+L385</f>
        <v>12445400</v>
      </c>
      <c r="M379" s="59">
        <f t="shared" ca="1" si="165"/>
        <v>0</v>
      </c>
      <c r="N379" s="59">
        <f t="shared" ca="1" si="165"/>
        <v>0</v>
      </c>
      <c r="O379" s="59">
        <f t="shared" ca="1" si="162"/>
        <v>0</v>
      </c>
      <c r="P379" s="59">
        <f t="shared" ca="1" si="163"/>
        <v>0</v>
      </c>
    </row>
    <row r="380" spans="1:16" ht="18.75" x14ac:dyDescent="0.25">
      <c r="A380" s="157"/>
      <c r="B380" s="53"/>
      <c r="C380" s="53"/>
      <c r="D380" s="54" t="s">
        <v>20</v>
      </c>
      <c r="E380" s="53"/>
      <c r="F380" s="53"/>
      <c r="G380" s="55"/>
      <c r="H380" s="163" t="s">
        <v>12</v>
      </c>
      <c r="I380" s="164"/>
      <c r="J380" s="164"/>
      <c r="K380" s="165"/>
      <c r="L380" s="59">
        <f t="shared" ref="L380:N380" ca="1" si="166">L381+L382</f>
        <v>0</v>
      </c>
      <c r="M380" s="59">
        <f t="shared" ca="1" si="166"/>
        <v>0</v>
      </c>
      <c r="N380" s="59">
        <f t="shared" ca="1" si="166"/>
        <v>0</v>
      </c>
      <c r="O380" s="59">
        <f t="shared" ca="1" si="162"/>
        <v>0</v>
      </c>
      <c r="P380" s="59">
        <f t="shared" ca="1" si="163"/>
        <v>0</v>
      </c>
    </row>
    <row r="381" spans="1:16" ht="18.75" x14ac:dyDescent="0.25">
      <c r="A381" s="157"/>
      <c r="B381" s="53"/>
      <c r="C381" s="53"/>
      <c r="D381" s="53"/>
      <c r="E381" s="60" t="s">
        <v>34</v>
      </c>
      <c r="F381" s="53"/>
      <c r="G381" s="55"/>
      <c r="H381" s="163" t="s">
        <v>12</v>
      </c>
      <c r="I381" s="164"/>
      <c r="J381" s="164"/>
      <c r="K381" s="165"/>
      <c r="L381" s="59">
        <f ca="1">IFERROR(__xludf.DUMMYFUNCTION("IMPORTRANGE(""https://docs.google.com/spreadsheets/d/1kKUcYdkIfrgTSj8iHHHB2MD2FAtwyyocFgqGQn6ADyI/edit?usp=sharing"",""กระบี่!L381"")+IMPORTRANGE(""https://docs.google.com/spreadsheets/d/1GwtLaSlNZkLk7iDqcyZz22giiy40b_usZZBXYciEN1U/edit?usp=sharing"",""ชุ"&amp;"มพร!L381"")+IMPORTRANGE(""https://docs.google.com/spreadsheets/d/16pAz3pOhQEZBhvFNMa5KGgZS6iKWpsKX0pg6tQmwFpo/edit?usp=sharing"",""ตรัง!L381"")+IMPORTRANGE(""https://docs.google.com/spreadsheets/d/1Dj4jcHCTV9JXKCaMoheSXS52JE63kDKyG7bPXnFogHk/edit?usp=shar"&amp;"ing"",""นครศรีธรรมราช!L381"")+IMPORTRANGE(""https://docs.google.com/spreadsheets/d/1iodCdmuK2GR3jzUwk8tpccY2JHQQA-87DLOtJP-ooyU/edit?usp=sharing"",""นราธิวาส!L381"")+IMPORTRANGE(""https://docs.google.com/spreadsheets/d/1SDNX3JhDdYRuIOsj0Wh2M-Qa_eaXl0NbWmh"&amp;"AOTbfQAs/edit?usp=sharing"",""ปัตตานี!L381"")+IMPORTRANGE(""https://docs.google.com/spreadsheets/d/16JDLGguT8s5DsGCND1KcwHP_AWR_zDMTqLHPLJUKhaU/edit?usp=sharing"",""พังงา!L381"")+IMPORTRANGE(""https://docs.google.com/spreadsheets/d/17ht0gPKzzT3PObBL1XJkeR"&amp;"mntBXI7wGjpLV7QorqlTk/edit?usp=sharing"",""พัทลุง!L381"")+IMPORTRANGE(""https://docs.google.com/spreadsheets/d/1rd4qoM1q_hsgaolqNGfrim9gbsoLxQsda4-vOz5x_BM/edit?usp=sharing"",""ภูเก็ต!L381"")+IMPORTRANGE(""https://docs.google.com/spreadsheets/d/1woKwKjgoL"&amp;"ssDvPcPeVyezB5izizAn4X1JDrys69n6xI/edit?usp=sharing"",""ยะลา!L381"")+IMPORTRANGE(""https://docs.google.com/spreadsheets/d/1qfrKjzMhm2HJfxQ-qVlJlJQ25Hne1d0khsySbZyGtPA/edit?usp=sharing"",""ระนอง!L381"")+IMPORTRANGE(""https://docs.google.com/spreadsheets/d/"&amp;"1IbSCnFOKpZsnFogBHJnL_isstZVaOMnFiIN0fGTPZZw/edit?usp=sharing"",""สงขลา!L381"")+IMPORTRANGE(""https://docs.google.com/spreadsheets/d/1q9nWasZJ-K8bFGvbE9n0qSRuKGA4Toe3Y89cKCiVtCU/edit?usp=sharing"",""สตูล!L381"")+IMPORTRANGE(""https://docs.google.com/sprea"&amp;"dsheets/d/18T20gbkS_WBjdscyTOV05cvq_JqvqQ17C81mpxf7Ncs/edit?usp=sharing"",""สุราษฎร์ธานี!L381"")"),0)</f>
        <v>0</v>
      </c>
      <c r="M381" s="59">
        <f ca="1">IFERROR(__xludf.DUMMYFUNCTION("IMPORTRANGE(""https://docs.google.com/spreadsheets/d/1kKUcYdkIfrgTSj8iHHHB2MD2FAtwyyocFgqGQn6ADyI/edit?usp=sharing"",""กระบี่!M381"")+IMPORTRANGE(""https://docs.google.com/spreadsheets/d/1GwtLaSlNZkLk7iDqcyZz22giiy40b_usZZBXYciEN1U/edit?usp=sharing"",""ชุ"&amp;"มพร!M381"")+IMPORTRANGE(""https://docs.google.com/spreadsheets/d/16pAz3pOhQEZBhvFNMa5KGgZS6iKWpsKX0pg6tQmwFpo/edit?usp=sharing"",""ตรัง!M381"")+IMPORTRANGE(""https://docs.google.com/spreadsheets/d/1Dj4jcHCTV9JXKCaMoheSXS52JE63kDKyG7bPXnFogHk/edit?usp=shar"&amp;"ing"",""นครศรีธรรมราช!M381"")+IMPORTRANGE(""https://docs.google.com/spreadsheets/d/1iodCdmuK2GR3jzUwk8tpccY2JHQQA-87DLOtJP-ooyU/edit?usp=sharing"",""นราธิวาส!M381"")+IMPORTRANGE(""https://docs.google.com/spreadsheets/d/1SDNX3JhDdYRuIOsj0Wh2M-Qa_eaXl0NbWmh"&amp;"AOTbfQAs/edit?usp=sharing"",""ปัตตานี!M381"")+IMPORTRANGE(""https://docs.google.com/spreadsheets/d/16JDLGguT8s5DsGCND1KcwHP_AWR_zDMTqLHPLJUKhaU/edit?usp=sharing"",""พังงา!M381"")+IMPORTRANGE(""https://docs.google.com/spreadsheets/d/17ht0gPKzzT3PObBL1XJkeR"&amp;"mntBXI7wGjpLV7QorqlTk/edit?usp=sharing"",""พัทลุง!M381"")+IMPORTRANGE(""https://docs.google.com/spreadsheets/d/1rd4qoM1q_hsgaolqNGfrim9gbsoLxQsda4-vOz5x_BM/edit?usp=sharing"",""ภูเก็ต!M381"")+IMPORTRANGE(""https://docs.google.com/spreadsheets/d/1woKwKjgoL"&amp;"ssDvPcPeVyezB5izizAn4X1JDrys69n6xI/edit?usp=sharing"",""ยะลา!M381"")+IMPORTRANGE(""https://docs.google.com/spreadsheets/d/1qfrKjzMhm2HJfxQ-qVlJlJQ25Hne1d0khsySbZyGtPA/edit?usp=sharing"",""ระนอง!M381"")+IMPORTRANGE(""https://docs.google.com/spreadsheets/d/"&amp;"1IbSCnFOKpZsnFogBHJnL_isstZVaOMnFiIN0fGTPZZw/edit?usp=sharing"",""สงขลา!M381"")+IMPORTRANGE(""https://docs.google.com/spreadsheets/d/1q9nWasZJ-K8bFGvbE9n0qSRuKGA4Toe3Y89cKCiVtCU/edit?usp=sharing"",""สตูล!M381"")+IMPORTRANGE(""https://docs.google.com/sprea"&amp;"dsheets/d/18T20gbkS_WBjdscyTOV05cvq_JqvqQ17C81mpxf7Ncs/edit?usp=sharing"",""สุราษฎร์ธานี!M381"")"),0)</f>
        <v>0</v>
      </c>
      <c r="N381" s="59">
        <f ca="1">IFERROR(__xludf.DUMMYFUNCTION("IMPORTRANGE(""https://docs.google.com/spreadsheets/d/1kKUcYdkIfrgTSj8iHHHB2MD2FAtwyyocFgqGQn6ADyI/edit?usp=sharing"",""กระบี่!N381"")+IMPORTRANGE(""https://docs.google.com/spreadsheets/d/1GwtLaSlNZkLk7iDqcyZz22giiy40b_usZZBXYciEN1U/edit?usp=sharing"",""ชุ"&amp;"มพร!N381"")+IMPORTRANGE(""https://docs.google.com/spreadsheets/d/16pAz3pOhQEZBhvFNMa5KGgZS6iKWpsKX0pg6tQmwFpo/edit?usp=sharing"",""ตรัง!N381"")+IMPORTRANGE(""https://docs.google.com/spreadsheets/d/1Dj4jcHCTV9JXKCaMoheSXS52JE63kDKyG7bPXnFogHk/edit?usp=shar"&amp;"ing"",""นครศรีธรรมราช!N381"")+IMPORTRANGE(""https://docs.google.com/spreadsheets/d/1iodCdmuK2GR3jzUwk8tpccY2JHQQA-87DLOtJP-ooyU/edit?usp=sharing"",""นราธิวาส!N381"")+IMPORTRANGE(""https://docs.google.com/spreadsheets/d/1SDNX3JhDdYRuIOsj0Wh2M-Qa_eaXl0NbWmh"&amp;"AOTbfQAs/edit?usp=sharing"",""ปัตตานี!N381"")+IMPORTRANGE(""https://docs.google.com/spreadsheets/d/16JDLGguT8s5DsGCND1KcwHP_AWR_zDMTqLHPLJUKhaU/edit?usp=sharing"",""พังงา!N381"")+IMPORTRANGE(""https://docs.google.com/spreadsheets/d/17ht0gPKzzT3PObBL1XJkeR"&amp;"mntBXI7wGjpLV7QorqlTk/edit?usp=sharing"",""พัทลุง!N381"")+IMPORTRANGE(""https://docs.google.com/spreadsheets/d/1rd4qoM1q_hsgaolqNGfrim9gbsoLxQsda4-vOz5x_BM/edit?usp=sharing"",""ภูเก็ต!N381"")+IMPORTRANGE(""https://docs.google.com/spreadsheets/d/1woKwKjgoL"&amp;"ssDvPcPeVyezB5izizAn4X1JDrys69n6xI/edit?usp=sharing"",""ยะลา!N381"")+IMPORTRANGE(""https://docs.google.com/spreadsheets/d/1qfrKjzMhm2HJfxQ-qVlJlJQ25Hne1d0khsySbZyGtPA/edit?usp=sharing"",""ระนอง!N381"")+IMPORTRANGE(""https://docs.google.com/spreadsheets/d/"&amp;"1IbSCnFOKpZsnFogBHJnL_isstZVaOMnFiIN0fGTPZZw/edit?usp=sharing"",""สงขลา!N381"")+IMPORTRANGE(""https://docs.google.com/spreadsheets/d/1q9nWasZJ-K8bFGvbE9n0qSRuKGA4Toe3Y89cKCiVtCU/edit?usp=sharing"",""สตูล!N381"")+IMPORTRANGE(""https://docs.google.com/sprea"&amp;"dsheets/d/18T20gbkS_WBjdscyTOV05cvq_JqvqQ17C81mpxf7Ncs/edit?usp=sharing"",""สุราษฎร์ธานี!N381"")"),0)</f>
        <v>0</v>
      </c>
      <c r="O381" s="59">
        <f t="shared" ca="1" si="162"/>
        <v>0</v>
      </c>
      <c r="P381" s="59">
        <f t="shared" ca="1" si="163"/>
        <v>0</v>
      </c>
    </row>
    <row r="382" spans="1:16" ht="18.75" x14ac:dyDescent="0.25">
      <c r="A382" s="157"/>
      <c r="B382" s="53"/>
      <c r="C382" s="53"/>
      <c r="D382" s="53"/>
      <c r="E382" s="60" t="s">
        <v>35</v>
      </c>
      <c r="F382" s="53"/>
      <c r="G382" s="55"/>
      <c r="H382" s="163" t="s">
        <v>12</v>
      </c>
      <c r="I382" s="164"/>
      <c r="J382" s="164"/>
      <c r="K382" s="165"/>
      <c r="L382" s="59">
        <f ca="1">IFERROR(__xludf.DUMMYFUNCTION("IMPORTRANGE(""https://docs.google.com/spreadsheets/d/1kKUcYdkIfrgTSj8iHHHB2MD2FAtwyyocFgqGQn6ADyI/edit?usp=sharing"",""กระบี่!L382"")+IMPORTRANGE(""https://docs.google.com/spreadsheets/d/1GwtLaSlNZkLk7iDqcyZz22giiy40b_usZZBXYciEN1U/edit?usp=sharing"",""ชุ"&amp;"มพร!L382"")+IMPORTRANGE(""https://docs.google.com/spreadsheets/d/16pAz3pOhQEZBhvFNMa5KGgZS6iKWpsKX0pg6tQmwFpo/edit?usp=sharing"",""ตรัง!L382"")+IMPORTRANGE(""https://docs.google.com/spreadsheets/d/1Dj4jcHCTV9JXKCaMoheSXS52JE63kDKyG7bPXnFogHk/edit?usp=shar"&amp;"ing"",""นครศรีธรรมราช!L382"")+IMPORTRANGE(""https://docs.google.com/spreadsheets/d/1iodCdmuK2GR3jzUwk8tpccY2JHQQA-87DLOtJP-ooyU/edit?usp=sharing"",""นราธิวาส!L382"")+IMPORTRANGE(""https://docs.google.com/spreadsheets/d/1SDNX3JhDdYRuIOsj0Wh2M-Qa_eaXl0NbWmh"&amp;"AOTbfQAs/edit?usp=sharing"",""ปัตตานี!L382"")+IMPORTRANGE(""https://docs.google.com/spreadsheets/d/16JDLGguT8s5DsGCND1KcwHP_AWR_zDMTqLHPLJUKhaU/edit?usp=sharing"",""พังงา!L382"")+IMPORTRANGE(""https://docs.google.com/spreadsheets/d/17ht0gPKzzT3PObBL1XJkeR"&amp;"mntBXI7wGjpLV7QorqlTk/edit?usp=sharing"",""พัทลุง!L382"")+IMPORTRANGE(""https://docs.google.com/spreadsheets/d/1rd4qoM1q_hsgaolqNGfrim9gbsoLxQsda4-vOz5x_BM/edit?usp=sharing"",""ภูเก็ต!L382"")+IMPORTRANGE(""https://docs.google.com/spreadsheets/d/1woKwKjgoL"&amp;"ssDvPcPeVyezB5izizAn4X1JDrys69n6xI/edit?usp=sharing"",""ยะลา!L382"")+IMPORTRANGE(""https://docs.google.com/spreadsheets/d/1qfrKjzMhm2HJfxQ-qVlJlJQ25Hne1d0khsySbZyGtPA/edit?usp=sharing"",""ระนอง!L382"")+IMPORTRANGE(""https://docs.google.com/spreadsheets/d/"&amp;"1IbSCnFOKpZsnFogBHJnL_isstZVaOMnFiIN0fGTPZZw/edit?usp=sharing"",""สงขลา!L382"")+IMPORTRANGE(""https://docs.google.com/spreadsheets/d/1q9nWasZJ-K8bFGvbE9n0qSRuKGA4Toe3Y89cKCiVtCU/edit?usp=sharing"",""สตูล!L382"")+IMPORTRANGE(""https://docs.google.com/sprea"&amp;"dsheets/d/18T20gbkS_WBjdscyTOV05cvq_JqvqQ17C81mpxf7Ncs/edit?usp=sharing"",""สุราษฎร์ธานี!L382"")"),0)</f>
        <v>0</v>
      </c>
      <c r="M382" s="59">
        <f ca="1">IFERROR(__xludf.DUMMYFUNCTION("IMPORTRANGE(""https://docs.google.com/spreadsheets/d/1kKUcYdkIfrgTSj8iHHHB2MD2FAtwyyocFgqGQn6ADyI/edit?usp=sharing"",""กระบี่!M382"")+IMPORTRANGE(""https://docs.google.com/spreadsheets/d/1GwtLaSlNZkLk7iDqcyZz22giiy40b_usZZBXYciEN1U/edit?usp=sharing"",""ชุ"&amp;"มพร!M382"")+IMPORTRANGE(""https://docs.google.com/spreadsheets/d/16pAz3pOhQEZBhvFNMa5KGgZS6iKWpsKX0pg6tQmwFpo/edit?usp=sharing"",""ตรัง!M382"")+IMPORTRANGE(""https://docs.google.com/spreadsheets/d/1Dj4jcHCTV9JXKCaMoheSXS52JE63kDKyG7bPXnFogHk/edit?usp=shar"&amp;"ing"",""นครศรีธรรมราช!M382"")+IMPORTRANGE(""https://docs.google.com/spreadsheets/d/1iodCdmuK2GR3jzUwk8tpccY2JHQQA-87DLOtJP-ooyU/edit?usp=sharing"",""นราธิวาส!M382"")+IMPORTRANGE(""https://docs.google.com/spreadsheets/d/1SDNX3JhDdYRuIOsj0Wh2M-Qa_eaXl0NbWmh"&amp;"AOTbfQAs/edit?usp=sharing"",""ปัตตานี!M382"")+IMPORTRANGE(""https://docs.google.com/spreadsheets/d/16JDLGguT8s5DsGCND1KcwHP_AWR_zDMTqLHPLJUKhaU/edit?usp=sharing"",""พังงา!M382"")+IMPORTRANGE(""https://docs.google.com/spreadsheets/d/17ht0gPKzzT3PObBL1XJkeR"&amp;"mntBXI7wGjpLV7QorqlTk/edit?usp=sharing"",""พัทลุง!M382"")+IMPORTRANGE(""https://docs.google.com/spreadsheets/d/1rd4qoM1q_hsgaolqNGfrim9gbsoLxQsda4-vOz5x_BM/edit?usp=sharing"",""ภูเก็ต!M382"")+IMPORTRANGE(""https://docs.google.com/spreadsheets/d/1woKwKjgoL"&amp;"ssDvPcPeVyezB5izizAn4X1JDrys69n6xI/edit?usp=sharing"",""ยะลา!M382"")+IMPORTRANGE(""https://docs.google.com/spreadsheets/d/1qfrKjzMhm2HJfxQ-qVlJlJQ25Hne1d0khsySbZyGtPA/edit?usp=sharing"",""ระนอง!M382"")+IMPORTRANGE(""https://docs.google.com/spreadsheets/d/"&amp;"1IbSCnFOKpZsnFogBHJnL_isstZVaOMnFiIN0fGTPZZw/edit?usp=sharing"",""สงขลา!M382"")+IMPORTRANGE(""https://docs.google.com/spreadsheets/d/1q9nWasZJ-K8bFGvbE9n0qSRuKGA4Toe3Y89cKCiVtCU/edit?usp=sharing"",""สตูล!M382"")+IMPORTRANGE(""https://docs.google.com/sprea"&amp;"dsheets/d/18T20gbkS_WBjdscyTOV05cvq_JqvqQ17C81mpxf7Ncs/edit?usp=sharing"",""สุราษฎร์ธานี!M382"")"),0)</f>
        <v>0</v>
      </c>
      <c r="N382" s="59">
        <f ca="1">IFERROR(__xludf.DUMMYFUNCTION("IMPORTRANGE(""https://docs.google.com/spreadsheets/d/1kKUcYdkIfrgTSj8iHHHB2MD2FAtwyyocFgqGQn6ADyI/edit?usp=sharing"",""กระบี่!N382"")+IMPORTRANGE(""https://docs.google.com/spreadsheets/d/1GwtLaSlNZkLk7iDqcyZz22giiy40b_usZZBXYciEN1U/edit?usp=sharing"",""ชุ"&amp;"มพร!N382"")+IMPORTRANGE(""https://docs.google.com/spreadsheets/d/16pAz3pOhQEZBhvFNMa5KGgZS6iKWpsKX0pg6tQmwFpo/edit?usp=sharing"",""ตรัง!N382"")+IMPORTRANGE(""https://docs.google.com/spreadsheets/d/1Dj4jcHCTV9JXKCaMoheSXS52JE63kDKyG7bPXnFogHk/edit?usp=shar"&amp;"ing"",""นครศรีธรรมราช!N382"")+IMPORTRANGE(""https://docs.google.com/spreadsheets/d/1iodCdmuK2GR3jzUwk8tpccY2JHQQA-87DLOtJP-ooyU/edit?usp=sharing"",""นราธิวาส!N382"")+IMPORTRANGE(""https://docs.google.com/spreadsheets/d/1SDNX3JhDdYRuIOsj0Wh2M-Qa_eaXl0NbWmh"&amp;"AOTbfQAs/edit?usp=sharing"",""ปัตตานี!N382"")+IMPORTRANGE(""https://docs.google.com/spreadsheets/d/16JDLGguT8s5DsGCND1KcwHP_AWR_zDMTqLHPLJUKhaU/edit?usp=sharing"",""พังงา!N382"")+IMPORTRANGE(""https://docs.google.com/spreadsheets/d/17ht0gPKzzT3PObBL1XJkeR"&amp;"mntBXI7wGjpLV7QorqlTk/edit?usp=sharing"",""พัทลุง!N382"")+IMPORTRANGE(""https://docs.google.com/spreadsheets/d/1rd4qoM1q_hsgaolqNGfrim9gbsoLxQsda4-vOz5x_BM/edit?usp=sharing"",""ภูเก็ต!N382"")+IMPORTRANGE(""https://docs.google.com/spreadsheets/d/1woKwKjgoL"&amp;"ssDvPcPeVyezB5izizAn4X1JDrys69n6xI/edit?usp=sharing"",""ยะลา!N382"")+IMPORTRANGE(""https://docs.google.com/spreadsheets/d/1qfrKjzMhm2HJfxQ-qVlJlJQ25Hne1d0khsySbZyGtPA/edit?usp=sharing"",""ระนอง!N382"")+IMPORTRANGE(""https://docs.google.com/spreadsheets/d/"&amp;"1IbSCnFOKpZsnFogBHJnL_isstZVaOMnFiIN0fGTPZZw/edit?usp=sharing"",""สงขลา!N382"")+IMPORTRANGE(""https://docs.google.com/spreadsheets/d/1q9nWasZJ-K8bFGvbE9n0qSRuKGA4Toe3Y89cKCiVtCU/edit?usp=sharing"",""สตูล!N382"")+IMPORTRANGE(""https://docs.google.com/sprea"&amp;"dsheets/d/18T20gbkS_WBjdscyTOV05cvq_JqvqQ17C81mpxf7Ncs/edit?usp=sharing"",""สุราษฎร์ธานี!N382"")"),0)</f>
        <v>0</v>
      </c>
      <c r="O382" s="59">
        <f t="shared" ca="1" si="162"/>
        <v>0</v>
      </c>
      <c r="P382" s="59">
        <f t="shared" ca="1" si="163"/>
        <v>0</v>
      </c>
    </row>
    <row r="383" spans="1:16" ht="18.75" x14ac:dyDescent="0.25">
      <c r="A383" s="157"/>
      <c r="B383" s="53"/>
      <c r="C383" s="53"/>
      <c r="D383" s="54" t="s">
        <v>21</v>
      </c>
      <c r="E383" s="53"/>
      <c r="F383" s="53"/>
      <c r="G383" s="55"/>
      <c r="H383" s="166" t="s">
        <v>12</v>
      </c>
      <c r="I383" s="164"/>
      <c r="J383" s="164"/>
      <c r="K383" s="165"/>
      <c r="L383" s="59">
        <f t="shared" ref="L383:N383" ca="1" si="167">L384+L385</f>
        <v>12445400</v>
      </c>
      <c r="M383" s="59">
        <f t="shared" ca="1" si="167"/>
        <v>0</v>
      </c>
      <c r="N383" s="59">
        <f t="shared" ca="1" si="167"/>
        <v>0</v>
      </c>
      <c r="O383" s="59">
        <f t="shared" ca="1" si="162"/>
        <v>0</v>
      </c>
      <c r="P383" s="59">
        <f t="shared" ca="1" si="163"/>
        <v>0</v>
      </c>
    </row>
    <row r="384" spans="1:16" ht="18.75" x14ac:dyDescent="0.25">
      <c r="A384" s="157"/>
      <c r="B384" s="53"/>
      <c r="C384" s="53"/>
      <c r="D384" s="53"/>
      <c r="E384" s="60" t="s">
        <v>18</v>
      </c>
      <c r="F384" s="53"/>
      <c r="G384" s="55"/>
      <c r="H384" s="163" t="s">
        <v>12</v>
      </c>
      <c r="I384" s="164"/>
      <c r="J384" s="164"/>
      <c r="K384" s="165"/>
      <c r="L384" s="59">
        <f ca="1">IFERROR(__xludf.DUMMYFUNCTION("IMPORTRANGE(""https://docs.google.com/spreadsheets/d/1kKUcYdkIfrgTSj8iHHHB2MD2FAtwyyocFgqGQn6ADyI/edit?usp=sharing"",""กระบี่!L384"")+IMPORTRANGE(""https://docs.google.com/spreadsheets/d/1GwtLaSlNZkLk7iDqcyZz22giiy40b_usZZBXYciEN1U/edit?usp=sharing"",""ชุ"&amp;"มพร!L384"")+IMPORTRANGE(""https://docs.google.com/spreadsheets/d/16pAz3pOhQEZBhvFNMa5KGgZS6iKWpsKX0pg6tQmwFpo/edit?usp=sharing"",""ตรัง!L384"")+IMPORTRANGE(""https://docs.google.com/spreadsheets/d/1Dj4jcHCTV9JXKCaMoheSXS52JE63kDKyG7bPXnFogHk/edit?usp=shar"&amp;"ing"",""นครศรีธรรมราช!L384"")+IMPORTRANGE(""https://docs.google.com/spreadsheets/d/1iodCdmuK2GR3jzUwk8tpccY2JHQQA-87DLOtJP-ooyU/edit?usp=sharing"",""นราธิวาส!L384"")+IMPORTRANGE(""https://docs.google.com/spreadsheets/d/1SDNX3JhDdYRuIOsj0Wh2M-Qa_eaXl0NbWmh"&amp;"AOTbfQAs/edit?usp=sharing"",""ปัตตานี!L384"")+IMPORTRANGE(""https://docs.google.com/spreadsheets/d/16JDLGguT8s5DsGCND1KcwHP_AWR_zDMTqLHPLJUKhaU/edit?usp=sharing"",""พังงา!L384"")+IMPORTRANGE(""https://docs.google.com/spreadsheets/d/17ht0gPKzzT3PObBL1XJkeR"&amp;"mntBXI7wGjpLV7QorqlTk/edit?usp=sharing"",""พัทลุง!L384"")+IMPORTRANGE(""https://docs.google.com/spreadsheets/d/1rd4qoM1q_hsgaolqNGfrim9gbsoLxQsda4-vOz5x_BM/edit?usp=sharing"",""ภูเก็ต!L384"")+IMPORTRANGE(""https://docs.google.com/spreadsheets/d/1woKwKjgoL"&amp;"ssDvPcPeVyezB5izizAn4X1JDrys69n6xI/edit?usp=sharing"",""ยะลา!L384"")+IMPORTRANGE(""https://docs.google.com/spreadsheets/d/1qfrKjzMhm2HJfxQ-qVlJlJQ25Hne1d0khsySbZyGtPA/edit?usp=sharing"",""ระนอง!L384"")+IMPORTRANGE(""https://docs.google.com/spreadsheets/d/"&amp;"1IbSCnFOKpZsnFogBHJnL_isstZVaOMnFiIN0fGTPZZw/edit?usp=sharing"",""สงขลา!L384"")+IMPORTRANGE(""https://docs.google.com/spreadsheets/d/1q9nWasZJ-K8bFGvbE9n0qSRuKGA4Toe3Y89cKCiVtCU/edit?usp=sharing"",""สตูล!L384"")+IMPORTRANGE(""https://docs.google.com/sprea"&amp;"dsheets/d/18T20gbkS_WBjdscyTOV05cvq_JqvqQ17C81mpxf7Ncs/edit?usp=sharing"",""สุราษฎร์ธานี!L384"")"),0)</f>
        <v>0</v>
      </c>
      <c r="M384" s="59">
        <f ca="1">IFERROR(__xludf.DUMMYFUNCTION("IMPORTRANGE(""https://docs.google.com/spreadsheets/d/1kKUcYdkIfrgTSj8iHHHB2MD2FAtwyyocFgqGQn6ADyI/edit?usp=sharing"",""กระบี่!M384"")+IMPORTRANGE(""https://docs.google.com/spreadsheets/d/1GwtLaSlNZkLk7iDqcyZz22giiy40b_usZZBXYciEN1U/edit?usp=sharing"",""ชุ"&amp;"มพร!M384"")+IMPORTRANGE(""https://docs.google.com/spreadsheets/d/16pAz3pOhQEZBhvFNMa5KGgZS6iKWpsKX0pg6tQmwFpo/edit?usp=sharing"",""ตรัง!M384"")+IMPORTRANGE(""https://docs.google.com/spreadsheets/d/1Dj4jcHCTV9JXKCaMoheSXS52JE63kDKyG7bPXnFogHk/edit?usp=shar"&amp;"ing"",""นครศรีธรรมราช!M384"")+IMPORTRANGE(""https://docs.google.com/spreadsheets/d/1iodCdmuK2GR3jzUwk8tpccY2JHQQA-87DLOtJP-ooyU/edit?usp=sharing"",""นราธิวาส!M384"")+IMPORTRANGE(""https://docs.google.com/spreadsheets/d/1SDNX3JhDdYRuIOsj0Wh2M-Qa_eaXl0NbWmh"&amp;"AOTbfQAs/edit?usp=sharing"",""ปัตตานี!M384"")+IMPORTRANGE(""https://docs.google.com/spreadsheets/d/16JDLGguT8s5DsGCND1KcwHP_AWR_zDMTqLHPLJUKhaU/edit?usp=sharing"",""พังงา!M384"")+IMPORTRANGE(""https://docs.google.com/spreadsheets/d/17ht0gPKzzT3PObBL1XJkeR"&amp;"mntBXI7wGjpLV7QorqlTk/edit?usp=sharing"",""พัทลุง!M384"")+IMPORTRANGE(""https://docs.google.com/spreadsheets/d/1rd4qoM1q_hsgaolqNGfrim9gbsoLxQsda4-vOz5x_BM/edit?usp=sharing"",""ภูเก็ต!M384"")+IMPORTRANGE(""https://docs.google.com/spreadsheets/d/1woKwKjgoL"&amp;"ssDvPcPeVyezB5izizAn4X1JDrys69n6xI/edit?usp=sharing"",""ยะลา!M384"")+IMPORTRANGE(""https://docs.google.com/spreadsheets/d/1qfrKjzMhm2HJfxQ-qVlJlJQ25Hne1d0khsySbZyGtPA/edit?usp=sharing"",""ระนอง!M384"")+IMPORTRANGE(""https://docs.google.com/spreadsheets/d/"&amp;"1IbSCnFOKpZsnFogBHJnL_isstZVaOMnFiIN0fGTPZZw/edit?usp=sharing"",""สงขลา!M384"")+IMPORTRANGE(""https://docs.google.com/spreadsheets/d/1q9nWasZJ-K8bFGvbE9n0qSRuKGA4Toe3Y89cKCiVtCU/edit?usp=sharing"",""สตูล!M384"")+IMPORTRANGE(""https://docs.google.com/sprea"&amp;"dsheets/d/18T20gbkS_WBjdscyTOV05cvq_JqvqQ17C81mpxf7Ncs/edit?usp=sharing"",""สุราษฎร์ธานี!M384"")"),0)</f>
        <v>0</v>
      </c>
      <c r="N384" s="59">
        <f ca="1">IFERROR(__xludf.DUMMYFUNCTION("IMPORTRANGE(""https://docs.google.com/spreadsheets/d/1kKUcYdkIfrgTSj8iHHHB2MD2FAtwyyocFgqGQn6ADyI/edit?usp=sharing"",""กระบี่!N384"")+IMPORTRANGE(""https://docs.google.com/spreadsheets/d/1GwtLaSlNZkLk7iDqcyZz22giiy40b_usZZBXYciEN1U/edit?usp=sharing"",""ชุ"&amp;"มพร!N384"")+IMPORTRANGE(""https://docs.google.com/spreadsheets/d/16pAz3pOhQEZBhvFNMa5KGgZS6iKWpsKX0pg6tQmwFpo/edit?usp=sharing"",""ตรัง!N384"")+IMPORTRANGE(""https://docs.google.com/spreadsheets/d/1Dj4jcHCTV9JXKCaMoheSXS52JE63kDKyG7bPXnFogHk/edit?usp=shar"&amp;"ing"",""นครศรีธรรมราช!N384"")+IMPORTRANGE(""https://docs.google.com/spreadsheets/d/1iodCdmuK2GR3jzUwk8tpccY2JHQQA-87DLOtJP-ooyU/edit?usp=sharing"",""นราธิวาส!N384"")+IMPORTRANGE(""https://docs.google.com/spreadsheets/d/1SDNX3JhDdYRuIOsj0Wh2M-Qa_eaXl0NbWmh"&amp;"AOTbfQAs/edit?usp=sharing"",""ปัตตานี!N384"")+IMPORTRANGE(""https://docs.google.com/spreadsheets/d/16JDLGguT8s5DsGCND1KcwHP_AWR_zDMTqLHPLJUKhaU/edit?usp=sharing"",""พังงา!N384"")+IMPORTRANGE(""https://docs.google.com/spreadsheets/d/17ht0gPKzzT3PObBL1XJkeR"&amp;"mntBXI7wGjpLV7QorqlTk/edit?usp=sharing"",""พัทลุง!N384"")+IMPORTRANGE(""https://docs.google.com/spreadsheets/d/1rd4qoM1q_hsgaolqNGfrim9gbsoLxQsda4-vOz5x_BM/edit?usp=sharing"",""ภูเก็ต!N384"")+IMPORTRANGE(""https://docs.google.com/spreadsheets/d/1woKwKjgoL"&amp;"ssDvPcPeVyezB5izizAn4X1JDrys69n6xI/edit?usp=sharing"",""ยะลา!N384"")+IMPORTRANGE(""https://docs.google.com/spreadsheets/d/1qfrKjzMhm2HJfxQ-qVlJlJQ25Hne1d0khsySbZyGtPA/edit?usp=sharing"",""ระนอง!N384"")+IMPORTRANGE(""https://docs.google.com/spreadsheets/d/"&amp;"1IbSCnFOKpZsnFogBHJnL_isstZVaOMnFiIN0fGTPZZw/edit?usp=sharing"",""สงขลา!N384"")+IMPORTRANGE(""https://docs.google.com/spreadsheets/d/1q9nWasZJ-K8bFGvbE9n0qSRuKGA4Toe3Y89cKCiVtCU/edit?usp=sharing"",""สตูล!N384"")+IMPORTRANGE(""https://docs.google.com/sprea"&amp;"dsheets/d/18T20gbkS_WBjdscyTOV05cvq_JqvqQ17C81mpxf7Ncs/edit?usp=sharing"",""สุราษฎร์ธานี!N384"")"),0)</f>
        <v>0</v>
      </c>
      <c r="O384" s="59">
        <f t="shared" ca="1" si="162"/>
        <v>0</v>
      </c>
      <c r="P384" s="59">
        <f t="shared" ca="1" si="163"/>
        <v>0</v>
      </c>
    </row>
    <row r="385" spans="1:16" ht="18.75" x14ac:dyDescent="0.25">
      <c r="A385" s="157"/>
      <c r="B385" s="53"/>
      <c r="C385" s="53"/>
      <c r="D385" s="53"/>
      <c r="E385" s="60" t="s">
        <v>19</v>
      </c>
      <c r="F385" s="53"/>
      <c r="G385" s="55"/>
      <c r="H385" s="166" t="s">
        <v>12</v>
      </c>
      <c r="I385" s="164"/>
      <c r="J385" s="164"/>
      <c r="K385" s="165"/>
      <c r="L385" s="59">
        <f ca="1">IFERROR(__xludf.DUMMYFUNCTION("IMPORTRANGE(""https://docs.google.com/spreadsheets/d/1kKUcYdkIfrgTSj8iHHHB2MD2FAtwyyocFgqGQn6ADyI/edit?usp=sharing"",""กระบี่!L385"")+IMPORTRANGE(""https://docs.google.com/spreadsheets/d/1GwtLaSlNZkLk7iDqcyZz22giiy40b_usZZBXYciEN1U/edit?usp=sharing"",""ชุ"&amp;"มพร!L385"")+IMPORTRANGE(""https://docs.google.com/spreadsheets/d/16pAz3pOhQEZBhvFNMa5KGgZS6iKWpsKX0pg6tQmwFpo/edit?usp=sharing"",""ตรัง!L385"")+IMPORTRANGE(""https://docs.google.com/spreadsheets/d/1Dj4jcHCTV9JXKCaMoheSXS52JE63kDKyG7bPXnFogHk/edit?usp=shar"&amp;"ing"",""นครศรีธรรมราช!L385"")+IMPORTRANGE(""https://docs.google.com/spreadsheets/d/1iodCdmuK2GR3jzUwk8tpccY2JHQQA-87DLOtJP-ooyU/edit?usp=sharing"",""นราธิวาส!L385"")+IMPORTRANGE(""https://docs.google.com/spreadsheets/d/1SDNX3JhDdYRuIOsj0Wh2M-Qa_eaXl0NbWmh"&amp;"AOTbfQAs/edit?usp=sharing"",""ปัตตานี!L385"")+IMPORTRANGE(""https://docs.google.com/spreadsheets/d/16JDLGguT8s5DsGCND1KcwHP_AWR_zDMTqLHPLJUKhaU/edit?usp=sharing"",""พังงา!L385"")+IMPORTRANGE(""https://docs.google.com/spreadsheets/d/17ht0gPKzzT3PObBL1XJkeR"&amp;"mntBXI7wGjpLV7QorqlTk/edit?usp=sharing"",""พัทลุง!L385"")+IMPORTRANGE(""https://docs.google.com/spreadsheets/d/1rd4qoM1q_hsgaolqNGfrim9gbsoLxQsda4-vOz5x_BM/edit?usp=sharing"",""ภูเก็ต!L385"")+IMPORTRANGE(""https://docs.google.com/spreadsheets/d/1woKwKjgoL"&amp;"ssDvPcPeVyezB5izizAn4X1JDrys69n6xI/edit?usp=sharing"",""ยะลา!L385"")+IMPORTRANGE(""https://docs.google.com/spreadsheets/d/1qfrKjzMhm2HJfxQ-qVlJlJQ25Hne1d0khsySbZyGtPA/edit?usp=sharing"",""ระนอง!L385"")+IMPORTRANGE(""https://docs.google.com/spreadsheets/d/"&amp;"1IbSCnFOKpZsnFogBHJnL_isstZVaOMnFiIN0fGTPZZw/edit?usp=sharing"",""สงขลา!L385"")+IMPORTRANGE(""https://docs.google.com/spreadsheets/d/1q9nWasZJ-K8bFGvbE9n0qSRuKGA4Toe3Y89cKCiVtCU/edit?usp=sharing"",""สตูล!L385"")+IMPORTRANGE(""https://docs.google.com/sprea"&amp;"dsheets/d/18T20gbkS_WBjdscyTOV05cvq_JqvqQ17C81mpxf7Ncs/edit?usp=sharing"",""สุราษฎร์ธานี!L385"")"),12445400)</f>
        <v>12445400</v>
      </c>
      <c r="M385" s="59">
        <f ca="1">IFERROR(__xludf.DUMMYFUNCTION("IMPORTRANGE(""https://docs.google.com/spreadsheets/d/1kKUcYdkIfrgTSj8iHHHB2MD2FAtwyyocFgqGQn6ADyI/edit?usp=sharing"",""กระบี่!M385"")+IMPORTRANGE(""https://docs.google.com/spreadsheets/d/1GwtLaSlNZkLk7iDqcyZz22giiy40b_usZZBXYciEN1U/edit?usp=sharing"",""ชุ"&amp;"มพร!M385"")+IMPORTRANGE(""https://docs.google.com/spreadsheets/d/16pAz3pOhQEZBhvFNMa5KGgZS6iKWpsKX0pg6tQmwFpo/edit?usp=sharing"",""ตรัง!M385"")+IMPORTRANGE(""https://docs.google.com/spreadsheets/d/1Dj4jcHCTV9JXKCaMoheSXS52JE63kDKyG7bPXnFogHk/edit?usp=shar"&amp;"ing"",""นครศรีธรรมราช!M385"")+IMPORTRANGE(""https://docs.google.com/spreadsheets/d/1iodCdmuK2GR3jzUwk8tpccY2JHQQA-87DLOtJP-ooyU/edit?usp=sharing"",""นราธิวาส!M385"")+IMPORTRANGE(""https://docs.google.com/spreadsheets/d/1SDNX3JhDdYRuIOsj0Wh2M-Qa_eaXl0NbWmh"&amp;"AOTbfQAs/edit?usp=sharing"",""ปัตตานี!M385"")+IMPORTRANGE(""https://docs.google.com/spreadsheets/d/16JDLGguT8s5DsGCND1KcwHP_AWR_zDMTqLHPLJUKhaU/edit?usp=sharing"",""พังงา!M385"")+IMPORTRANGE(""https://docs.google.com/spreadsheets/d/17ht0gPKzzT3PObBL1XJkeR"&amp;"mntBXI7wGjpLV7QorqlTk/edit?usp=sharing"",""พัทลุง!M385"")+IMPORTRANGE(""https://docs.google.com/spreadsheets/d/1rd4qoM1q_hsgaolqNGfrim9gbsoLxQsda4-vOz5x_BM/edit?usp=sharing"",""ภูเก็ต!M385"")+IMPORTRANGE(""https://docs.google.com/spreadsheets/d/1woKwKjgoL"&amp;"ssDvPcPeVyezB5izizAn4X1JDrys69n6xI/edit?usp=sharing"",""ยะลา!M385"")+IMPORTRANGE(""https://docs.google.com/spreadsheets/d/1qfrKjzMhm2HJfxQ-qVlJlJQ25Hne1d0khsySbZyGtPA/edit?usp=sharing"",""ระนอง!M385"")+IMPORTRANGE(""https://docs.google.com/spreadsheets/d/"&amp;"1IbSCnFOKpZsnFogBHJnL_isstZVaOMnFiIN0fGTPZZw/edit?usp=sharing"",""สงขลา!M385"")+IMPORTRANGE(""https://docs.google.com/spreadsheets/d/1q9nWasZJ-K8bFGvbE9n0qSRuKGA4Toe3Y89cKCiVtCU/edit?usp=sharing"",""สตูล!M385"")+IMPORTRANGE(""https://docs.google.com/sprea"&amp;"dsheets/d/18T20gbkS_WBjdscyTOV05cvq_JqvqQ17C81mpxf7Ncs/edit?usp=sharing"",""สุราษฎร์ธานี!M385"")"),0)</f>
        <v>0</v>
      </c>
      <c r="N385" s="59">
        <f ca="1">IFERROR(__xludf.DUMMYFUNCTION("IMPORTRANGE(""https://docs.google.com/spreadsheets/d/1kKUcYdkIfrgTSj8iHHHB2MD2FAtwyyocFgqGQn6ADyI/edit?usp=sharing"",""กระบี่!N385"")+IMPORTRANGE(""https://docs.google.com/spreadsheets/d/1GwtLaSlNZkLk7iDqcyZz22giiy40b_usZZBXYciEN1U/edit?usp=sharing"",""ชุ"&amp;"มพร!N385"")+IMPORTRANGE(""https://docs.google.com/spreadsheets/d/16pAz3pOhQEZBhvFNMa5KGgZS6iKWpsKX0pg6tQmwFpo/edit?usp=sharing"",""ตรัง!N385"")+IMPORTRANGE(""https://docs.google.com/spreadsheets/d/1Dj4jcHCTV9JXKCaMoheSXS52JE63kDKyG7bPXnFogHk/edit?usp=shar"&amp;"ing"",""นครศรีธรรมราช!N385"")+IMPORTRANGE(""https://docs.google.com/spreadsheets/d/1iodCdmuK2GR3jzUwk8tpccY2JHQQA-87DLOtJP-ooyU/edit?usp=sharing"",""นราธิวาส!N385"")+IMPORTRANGE(""https://docs.google.com/spreadsheets/d/1SDNX3JhDdYRuIOsj0Wh2M-Qa_eaXl0NbWmh"&amp;"AOTbfQAs/edit?usp=sharing"",""ปัตตานี!N385"")+IMPORTRANGE(""https://docs.google.com/spreadsheets/d/16JDLGguT8s5DsGCND1KcwHP_AWR_zDMTqLHPLJUKhaU/edit?usp=sharing"",""พังงา!N385"")+IMPORTRANGE(""https://docs.google.com/spreadsheets/d/17ht0gPKzzT3PObBL1XJkeR"&amp;"mntBXI7wGjpLV7QorqlTk/edit?usp=sharing"",""พัทลุง!N385"")+IMPORTRANGE(""https://docs.google.com/spreadsheets/d/1rd4qoM1q_hsgaolqNGfrim9gbsoLxQsda4-vOz5x_BM/edit?usp=sharing"",""ภูเก็ต!N385"")+IMPORTRANGE(""https://docs.google.com/spreadsheets/d/1woKwKjgoL"&amp;"ssDvPcPeVyezB5izizAn4X1JDrys69n6xI/edit?usp=sharing"",""ยะลา!N385"")+IMPORTRANGE(""https://docs.google.com/spreadsheets/d/1qfrKjzMhm2HJfxQ-qVlJlJQ25Hne1d0khsySbZyGtPA/edit?usp=sharing"",""ระนอง!N385"")+IMPORTRANGE(""https://docs.google.com/spreadsheets/d/"&amp;"1IbSCnFOKpZsnFogBHJnL_isstZVaOMnFiIN0fGTPZZw/edit?usp=sharing"",""สงขลา!N385"")+IMPORTRANGE(""https://docs.google.com/spreadsheets/d/1q9nWasZJ-K8bFGvbE9n0qSRuKGA4Toe3Y89cKCiVtCU/edit?usp=sharing"",""สตูล!N385"")+IMPORTRANGE(""https://docs.google.com/sprea"&amp;"dsheets/d/18T20gbkS_WBjdscyTOV05cvq_JqvqQ17C81mpxf7Ncs/edit?usp=sharing"",""สุราษฎร์ธานี!N385"")"),0)</f>
        <v>0</v>
      </c>
      <c r="O385" s="59">
        <f t="shared" ca="1" si="162"/>
        <v>0</v>
      </c>
      <c r="P385" s="59">
        <f t="shared" ca="1" si="163"/>
        <v>0</v>
      </c>
    </row>
    <row r="386" spans="1:16" ht="19.5" x14ac:dyDescent="0.3">
      <c r="A386" s="167"/>
      <c r="B386" s="168"/>
      <c r="C386" s="158" t="s">
        <v>16</v>
      </c>
      <c r="D386" s="169" t="s">
        <v>36</v>
      </c>
      <c r="E386" s="170"/>
      <c r="F386" s="170"/>
      <c r="G386" s="171"/>
      <c r="H386" s="172"/>
      <c r="I386" s="164"/>
      <c r="J386" s="57"/>
      <c r="K386" s="58"/>
      <c r="L386" s="58"/>
      <c r="M386" s="58"/>
      <c r="N386" s="58"/>
      <c r="O386" s="165"/>
      <c r="P386" s="165"/>
    </row>
    <row r="387" spans="1:16" ht="18.75" x14ac:dyDescent="0.25">
      <c r="A387" s="274"/>
      <c r="B387" s="53"/>
      <c r="C387" s="278"/>
      <c r="D387" s="193" t="s">
        <v>149</v>
      </c>
      <c r="E387" s="168"/>
      <c r="F387" s="53"/>
      <c r="G387" s="55"/>
      <c r="H387" s="277" t="s">
        <v>9</v>
      </c>
      <c r="I387" s="194">
        <v>0</v>
      </c>
      <c r="J387" s="194">
        <v>0</v>
      </c>
      <c r="K387" s="59">
        <f t="shared" ref="K387:K388" si="168">IF(I387&gt;0,J387*100/I387,0)</f>
        <v>0</v>
      </c>
      <c r="L387" s="58"/>
      <c r="M387" s="58"/>
      <c r="N387" s="58"/>
      <c r="O387" s="58"/>
      <c r="P387" s="58"/>
    </row>
    <row r="388" spans="1:16" ht="18.75" x14ac:dyDescent="0.25">
      <c r="A388" s="479"/>
      <c r="B388" s="71"/>
      <c r="C388" s="480"/>
      <c r="D388" s="481" t="s">
        <v>150</v>
      </c>
      <c r="E388" s="482"/>
      <c r="F388" s="71"/>
      <c r="G388" s="73"/>
      <c r="H388" s="483" t="s">
        <v>54</v>
      </c>
      <c r="I388" s="484">
        <v>0</v>
      </c>
      <c r="J388" s="484">
        <v>0</v>
      </c>
      <c r="K388" s="77">
        <f t="shared" si="168"/>
        <v>0</v>
      </c>
      <c r="L388" s="76"/>
      <c r="M388" s="76"/>
      <c r="N388" s="76"/>
      <c r="O388" s="76"/>
      <c r="P388" s="76"/>
    </row>
    <row r="389" spans="1:16" ht="12.75" x14ac:dyDescent="0.2">
      <c r="A389" s="485"/>
      <c r="B389" s="485"/>
      <c r="C389" s="485"/>
      <c r="D389" s="485"/>
      <c r="E389" s="485"/>
      <c r="F389" s="485"/>
      <c r="G389" s="485"/>
      <c r="H389" s="485"/>
      <c r="I389" s="485"/>
      <c r="J389" s="485"/>
      <c r="K389" s="485"/>
      <c r="L389" s="485"/>
      <c r="M389" s="485"/>
      <c r="N389" s="485"/>
      <c r="O389" s="485"/>
      <c r="P389" s="485"/>
    </row>
    <row r="390" spans="1:16" ht="16.5" x14ac:dyDescent="0.25">
      <c r="A390" s="486" t="s">
        <v>151</v>
      </c>
      <c r="B390" s="485"/>
      <c r="C390" s="485"/>
      <c r="D390" s="485"/>
      <c r="E390" s="485"/>
      <c r="F390" s="485"/>
      <c r="G390" s="485"/>
      <c r="H390" s="485"/>
      <c r="I390" s="485"/>
      <c r="J390" s="485"/>
      <c r="K390" s="485"/>
      <c r="L390" s="485"/>
      <c r="M390" s="485"/>
      <c r="N390" s="485"/>
      <c r="O390" s="485"/>
      <c r="P390" s="485"/>
    </row>
    <row r="391" spans="1:16" ht="16.5" x14ac:dyDescent="0.25">
      <c r="A391" s="48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485"/>
      <c r="C391" s="485"/>
      <c r="D391" s="485"/>
      <c r="E391" s="485"/>
      <c r="F391" s="485"/>
      <c r="G391" s="485"/>
      <c r="H391" s="485"/>
      <c r="I391" s="485"/>
      <c r="J391" s="485"/>
      <c r="K391" s="485"/>
      <c r="L391" s="485"/>
      <c r="M391" s="485"/>
      <c r="N391" s="485"/>
      <c r="O391" s="485"/>
      <c r="P391" s="485"/>
    </row>
    <row r="392" spans="1:16" ht="12.75" x14ac:dyDescent="0.2">
      <c r="A392" s="485"/>
      <c r="B392" s="485"/>
      <c r="C392" s="485"/>
      <c r="D392" s="485"/>
      <c r="E392" s="485"/>
      <c r="F392" s="485"/>
      <c r="G392" s="485"/>
      <c r="H392" s="485"/>
      <c r="I392" s="485"/>
      <c r="J392" s="485"/>
      <c r="K392" s="485"/>
      <c r="L392" s="485"/>
      <c r="M392" s="485"/>
      <c r="N392" s="485"/>
      <c r="O392" s="485"/>
      <c r="P392" s="485"/>
    </row>
    <row r="393" spans="1:16" ht="12.75" x14ac:dyDescent="0.2">
      <c r="A393" s="485"/>
      <c r="B393" s="485"/>
      <c r="C393" s="485"/>
      <c r="D393" s="485"/>
      <c r="E393" s="485"/>
      <c r="F393" s="485"/>
      <c r="G393" s="485"/>
      <c r="H393" s="485"/>
      <c r="I393" s="485"/>
      <c r="J393" s="485"/>
      <c r="K393" s="485"/>
      <c r="L393" s="485"/>
      <c r="M393" s="485"/>
      <c r="N393" s="485"/>
      <c r="O393" s="485"/>
      <c r="P393" s="485"/>
    </row>
    <row r="394" spans="1:16" ht="12.75" x14ac:dyDescent="0.2">
      <c r="A394" s="485"/>
      <c r="B394" s="485"/>
      <c r="C394" s="485"/>
      <c r="D394" s="485"/>
      <c r="E394" s="485"/>
      <c r="F394" s="485"/>
      <c r="G394" s="485"/>
      <c r="H394" s="485"/>
      <c r="I394" s="485"/>
      <c r="J394" s="485"/>
      <c r="K394" s="485"/>
      <c r="L394" s="485"/>
      <c r="M394" s="485"/>
      <c r="N394" s="485"/>
      <c r="O394" s="485"/>
      <c r="P394" s="485"/>
    </row>
    <row r="395" spans="1:16" ht="12.75" x14ac:dyDescent="0.2">
      <c r="A395" s="485"/>
      <c r="B395" s="485"/>
      <c r="C395" s="485"/>
      <c r="D395" s="485"/>
      <c r="E395" s="485"/>
      <c r="F395" s="485"/>
      <c r="G395" s="485"/>
      <c r="H395" s="485"/>
      <c r="I395" s="485"/>
      <c r="J395" s="485"/>
      <c r="K395" s="485"/>
      <c r="L395" s="485"/>
      <c r="M395" s="485"/>
      <c r="N395" s="485"/>
      <c r="O395" s="485"/>
      <c r="P395" s="485"/>
    </row>
    <row r="396" spans="1:16" ht="12.75" x14ac:dyDescent="0.2">
      <c r="A396" s="485"/>
      <c r="B396" s="485"/>
      <c r="C396" s="485"/>
      <c r="D396" s="485"/>
      <c r="E396" s="485"/>
      <c r="F396" s="485"/>
      <c r="G396" s="485"/>
      <c r="H396" s="485"/>
      <c r="I396" s="485"/>
      <c r="J396" s="485"/>
      <c r="K396" s="485"/>
      <c r="L396" s="485"/>
      <c r="M396" s="485"/>
      <c r="N396" s="485"/>
      <c r="O396" s="485"/>
      <c r="P396" s="485"/>
    </row>
    <row r="397" spans="1:16" ht="12.75" x14ac:dyDescent="0.2">
      <c r="A397" s="485"/>
      <c r="B397" s="485"/>
      <c r="C397" s="485"/>
      <c r="D397" s="485"/>
      <c r="E397" s="485"/>
      <c r="F397" s="485"/>
      <c r="G397" s="485"/>
      <c r="H397" s="485"/>
      <c r="I397" s="485"/>
      <c r="J397" s="485"/>
      <c r="K397" s="485"/>
      <c r="L397" s="485"/>
      <c r="M397" s="485"/>
      <c r="N397" s="485"/>
      <c r="O397" s="485"/>
      <c r="P397" s="485"/>
    </row>
    <row r="398" spans="1:16" ht="12.75" x14ac:dyDescent="0.2">
      <c r="A398" s="485"/>
      <c r="B398" s="485"/>
      <c r="C398" s="485"/>
      <c r="D398" s="485"/>
      <c r="E398" s="485"/>
      <c r="F398" s="485"/>
      <c r="G398" s="485"/>
      <c r="H398" s="485"/>
      <c r="I398" s="485"/>
      <c r="J398" s="485"/>
      <c r="K398" s="485"/>
      <c r="L398" s="485"/>
      <c r="M398" s="485"/>
      <c r="N398" s="485"/>
      <c r="O398" s="485"/>
      <c r="P398" s="485"/>
    </row>
    <row r="399" spans="1:16" ht="12.75" x14ac:dyDescent="0.2">
      <c r="A399" s="485"/>
      <c r="B399" s="485"/>
      <c r="C399" s="485"/>
      <c r="D399" s="485"/>
      <c r="E399" s="485"/>
      <c r="F399" s="485"/>
      <c r="G399" s="485"/>
      <c r="H399" s="485"/>
      <c r="I399" s="485"/>
      <c r="J399" s="485"/>
      <c r="K399" s="485"/>
      <c r="L399" s="485"/>
      <c r="M399" s="485"/>
      <c r="N399" s="485"/>
      <c r="O399" s="485"/>
      <c r="P399" s="485"/>
    </row>
    <row r="400" spans="1:16" ht="12.75" x14ac:dyDescent="0.2">
      <c r="A400" s="485"/>
      <c r="B400" s="485"/>
      <c r="C400" s="485"/>
      <c r="D400" s="485"/>
      <c r="E400" s="485"/>
      <c r="F400" s="485"/>
      <c r="G400" s="485"/>
      <c r="H400" s="485"/>
      <c r="I400" s="485"/>
      <c r="J400" s="485"/>
      <c r="K400" s="485"/>
      <c r="L400" s="485"/>
      <c r="M400" s="485"/>
      <c r="N400" s="485"/>
      <c r="O400" s="485"/>
      <c r="P400" s="485"/>
    </row>
    <row r="401" spans="1:16" ht="12.75" x14ac:dyDescent="0.2">
      <c r="A401" s="485"/>
      <c r="B401" s="485"/>
      <c r="C401" s="485"/>
      <c r="D401" s="485"/>
      <c r="E401" s="485"/>
      <c r="F401" s="485"/>
      <c r="G401" s="485"/>
      <c r="H401" s="485"/>
      <c r="I401" s="485"/>
      <c r="J401" s="485"/>
      <c r="K401" s="485"/>
      <c r="L401" s="485"/>
      <c r="M401" s="485"/>
      <c r="N401" s="485"/>
      <c r="O401" s="485"/>
      <c r="P401" s="485"/>
    </row>
    <row r="402" spans="1:16" ht="12.75" x14ac:dyDescent="0.2">
      <c r="A402" s="485"/>
      <c r="B402" s="485"/>
      <c r="C402" s="485"/>
      <c r="D402" s="485"/>
      <c r="E402" s="485"/>
      <c r="F402" s="485"/>
      <c r="G402" s="485"/>
      <c r="H402" s="485"/>
      <c r="I402" s="485"/>
      <c r="J402" s="485"/>
      <c r="K402" s="485"/>
      <c r="L402" s="485"/>
      <c r="M402" s="485"/>
      <c r="N402" s="485"/>
      <c r="O402" s="485"/>
      <c r="P402" s="485"/>
    </row>
    <row r="403" spans="1:16" ht="12.75" x14ac:dyDescent="0.2">
      <c r="A403" s="485"/>
      <c r="B403" s="485"/>
      <c r="C403" s="485"/>
      <c r="D403" s="485"/>
      <c r="E403" s="485"/>
      <c r="F403" s="485"/>
      <c r="G403" s="485"/>
      <c r="H403" s="485"/>
      <c r="I403" s="485"/>
      <c r="J403" s="485"/>
      <c r="K403" s="485"/>
      <c r="L403" s="485"/>
      <c r="M403" s="485"/>
      <c r="N403" s="485"/>
      <c r="O403" s="485"/>
      <c r="P403" s="485"/>
    </row>
    <row r="404" spans="1:16" ht="12.75" x14ac:dyDescent="0.2">
      <c r="A404" s="485"/>
      <c r="B404" s="485"/>
      <c r="C404" s="485"/>
      <c r="D404" s="485"/>
      <c r="E404" s="485"/>
      <c r="F404" s="485"/>
      <c r="G404" s="485"/>
      <c r="H404" s="485"/>
      <c r="I404" s="485"/>
      <c r="J404" s="485"/>
      <c r="K404" s="485"/>
      <c r="L404" s="485"/>
      <c r="M404" s="485"/>
      <c r="N404" s="485"/>
      <c r="O404" s="485"/>
      <c r="P404" s="485"/>
    </row>
    <row r="405" spans="1:16" ht="12.75" x14ac:dyDescent="0.2">
      <c r="A405" s="485"/>
      <c r="B405" s="485"/>
      <c r="C405" s="485"/>
      <c r="D405" s="485"/>
      <c r="E405" s="485"/>
      <c r="F405" s="485"/>
      <c r="G405" s="485"/>
      <c r="H405" s="485"/>
      <c r="I405" s="485"/>
      <c r="J405" s="485"/>
      <c r="K405" s="485"/>
      <c r="L405" s="485"/>
      <c r="M405" s="485"/>
      <c r="N405" s="485"/>
      <c r="O405" s="485"/>
      <c r="P405" s="485"/>
    </row>
    <row r="406" spans="1:16" ht="12.75" x14ac:dyDescent="0.2">
      <c r="A406" s="485"/>
      <c r="B406" s="485"/>
      <c r="C406" s="485"/>
      <c r="D406" s="485"/>
      <c r="E406" s="485"/>
      <c r="F406" s="485"/>
      <c r="G406" s="485"/>
      <c r="H406" s="485"/>
      <c r="I406" s="485"/>
      <c r="J406" s="485"/>
      <c r="K406" s="485"/>
      <c r="L406" s="485"/>
      <c r="M406" s="485"/>
      <c r="N406" s="485"/>
      <c r="O406" s="485"/>
      <c r="P406" s="485"/>
    </row>
    <row r="407" spans="1:16" ht="12.75" x14ac:dyDescent="0.2">
      <c r="A407" s="485"/>
      <c r="B407" s="485"/>
      <c r="C407" s="485"/>
      <c r="D407" s="485"/>
      <c r="E407" s="485"/>
      <c r="F407" s="485"/>
      <c r="G407" s="485"/>
      <c r="H407" s="485"/>
      <c r="I407" s="485"/>
      <c r="J407" s="485"/>
      <c r="K407" s="485"/>
      <c r="L407" s="485"/>
      <c r="M407" s="485"/>
      <c r="N407" s="485"/>
      <c r="O407" s="485"/>
      <c r="P407" s="485"/>
    </row>
    <row r="408" spans="1:16" ht="12.75" x14ac:dyDescent="0.2">
      <c r="A408" s="485"/>
      <c r="B408" s="485"/>
      <c r="C408" s="485"/>
      <c r="D408" s="485"/>
      <c r="E408" s="485"/>
      <c r="F408" s="485"/>
      <c r="G408" s="485"/>
      <c r="H408" s="485"/>
      <c r="I408" s="485"/>
      <c r="J408" s="485"/>
      <c r="K408" s="485"/>
      <c r="L408" s="485"/>
      <c r="M408" s="485"/>
      <c r="N408" s="485"/>
      <c r="O408" s="485"/>
      <c r="P408" s="485"/>
    </row>
    <row r="409" spans="1:16" ht="12.75" x14ac:dyDescent="0.2">
      <c r="A409" s="485"/>
      <c r="B409" s="485"/>
      <c r="C409" s="485"/>
      <c r="D409" s="485"/>
      <c r="E409" s="485"/>
      <c r="F409" s="485"/>
      <c r="G409" s="485"/>
      <c r="H409" s="485"/>
      <c r="I409" s="485"/>
      <c r="J409" s="485"/>
      <c r="K409" s="485"/>
      <c r="L409" s="485"/>
      <c r="M409" s="485"/>
      <c r="N409" s="485"/>
      <c r="O409" s="485"/>
      <c r="P409" s="485"/>
    </row>
    <row r="410" spans="1:16" ht="12.75" x14ac:dyDescent="0.2">
      <c r="A410" s="485"/>
      <c r="B410" s="485"/>
      <c r="C410" s="485"/>
      <c r="D410" s="485"/>
      <c r="E410" s="485"/>
      <c r="F410" s="485"/>
      <c r="G410" s="485"/>
      <c r="H410" s="485"/>
      <c r="I410" s="485"/>
      <c r="J410" s="485"/>
      <c r="K410" s="485"/>
      <c r="L410" s="485"/>
      <c r="M410" s="485"/>
      <c r="N410" s="485"/>
      <c r="O410" s="485"/>
      <c r="P410" s="485"/>
    </row>
    <row r="411" spans="1:16" ht="12.75" x14ac:dyDescent="0.2">
      <c r="A411" s="485"/>
      <c r="B411" s="485"/>
      <c r="C411" s="485"/>
      <c r="D411" s="485"/>
      <c r="E411" s="485"/>
      <c r="F411" s="485"/>
      <c r="G411" s="485"/>
      <c r="H411" s="485"/>
      <c r="I411" s="485"/>
      <c r="J411" s="485"/>
      <c r="K411" s="485"/>
      <c r="L411" s="485"/>
      <c r="M411" s="485"/>
      <c r="N411" s="485"/>
      <c r="O411" s="485"/>
      <c r="P411" s="485"/>
    </row>
    <row r="412" spans="1:16" ht="12.75" x14ac:dyDescent="0.2">
      <c r="A412" s="485"/>
      <c r="B412" s="485"/>
      <c r="C412" s="485"/>
      <c r="D412" s="485"/>
      <c r="E412" s="485"/>
      <c r="F412" s="485"/>
      <c r="G412" s="485"/>
      <c r="H412" s="485"/>
      <c r="I412" s="485"/>
      <c r="J412" s="485"/>
      <c r="K412" s="485"/>
      <c r="L412" s="485"/>
      <c r="M412" s="485"/>
      <c r="N412" s="485"/>
      <c r="O412" s="485"/>
      <c r="P412" s="485"/>
    </row>
    <row r="413" spans="1:16" ht="12.75" x14ac:dyDescent="0.2">
      <c r="A413" s="485"/>
      <c r="B413" s="485"/>
      <c r="C413" s="485"/>
      <c r="D413" s="485"/>
      <c r="E413" s="485"/>
      <c r="F413" s="485"/>
      <c r="G413" s="485"/>
      <c r="H413" s="485"/>
      <c r="I413" s="485"/>
      <c r="J413" s="485"/>
      <c r="K413" s="485"/>
      <c r="L413" s="485"/>
      <c r="M413" s="485"/>
      <c r="N413" s="485"/>
      <c r="O413" s="485"/>
      <c r="P413" s="485"/>
    </row>
    <row r="414" spans="1:16" ht="12.75" x14ac:dyDescent="0.2">
      <c r="A414" s="485"/>
      <c r="B414" s="485"/>
      <c r="C414" s="485"/>
      <c r="D414" s="485"/>
      <c r="E414" s="485"/>
      <c r="F414" s="485"/>
      <c r="G414" s="485"/>
      <c r="H414" s="485"/>
      <c r="I414" s="485"/>
      <c r="J414" s="485"/>
      <c r="K414" s="485"/>
      <c r="L414" s="485"/>
      <c r="M414" s="485"/>
      <c r="N414" s="485"/>
      <c r="O414" s="485"/>
      <c r="P414" s="485"/>
    </row>
    <row r="415" spans="1:16" ht="12.75" x14ac:dyDescent="0.2">
      <c r="A415" s="485"/>
      <c r="B415" s="485"/>
      <c r="C415" s="485"/>
      <c r="D415" s="485"/>
      <c r="E415" s="485"/>
      <c r="F415" s="485"/>
      <c r="G415" s="485"/>
      <c r="H415" s="485"/>
      <c r="I415" s="485"/>
      <c r="J415" s="485"/>
      <c r="K415" s="485"/>
      <c r="L415" s="485"/>
      <c r="M415" s="485"/>
      <c r="N415" s="485"/>
      <c r="O415" s="485"/>
      <c r="P415" s="485"/>
    </row>
    <row r="416" spans="1:16" ht="12.75" x14ac:dyDescent="0.2">
      <c r="A416" s="485"/>
      <c r="B416" s="485"/>
      <c r="C416" s="485"/>
      <c r="D416" s="485"/>
      <c r="E416" s="485"/>
      <c r="F416" s="485"/>
      <c r="G416" s="485"/>
      <c r="H416" s="485"/>
      <c r="I416" s="485"/>
      <c r="J416" s="485"/>
      <c r="K416" s="485"/>
      <c r="L416" s="485"/>
      <c r="M416" s="485"/>
      <c r="N416" s="485"/>
      <c r="O416" s="485"/>
      <c r="P416" s="485"/>
    </row>
    <row r="417" spans="1:16" ht="12.75" x14ac:dyDescent="0.2">
      <c r="A417" s="485"/>
      <c r="B417" s="485"/>
      <c r="C417" s="485"/>
      <c r="D417" s="485"/>
      <c r="E417" s="485"/>
      <c r="F417" s="485"/>
      <c r="G417" s="485"/>
      <c r="H417" s="485"/>
      <c r="I417" s="485"/>
      <c r="J417" s="485"/>
      <c r="K417" s="485"/>
      <c r="L417" s="485"/>
      <c r="M417" s="485"/>
      <c r="N417" s="485"/>
      <c r="O417" s="485"/>
      <c r="P417" s="485"/>
    </row>
    <row r="418" spans="1:16" ht="12.75" x14ac:dyDescent="0.2">
      <c r="A418" s="485"/>
      <c r="B418" s="485"/>
      <c r="C418" s="485"/>
      <c r="D418" s="485"/>
      <c r="E418" s="485"/>
      <c r="F418" s="485"/>
      <c r="G418" s="485"/>
      <c r="H418" s="485"/>
      <c r="I418" s="485"/>
      <c r="J418" s="485"/>
      <c r="K418" s="485"/>
      <c r="L418" s="485"/>
      <c r="M418" s="485"/>
      <c r="N418" s="485"/>
      <c r="O418" s="485"/>
      <c r="P418" s="485"/>
    </row>
    <row r="419" spans="1:16" ht="12.75" x14ac:dyDescent="0.2">
      <c r="A419" s="485"/>
      <c r="B419" s="485"/>
      <c r="C419" s="485"/>
      <c r="D419" s="485"/>
      <c r="E419" s="485"/>
      <c r="F419" s="485"/>
      <c r="G419" s="485"/>
      <c r="H419" s="485"/>
      <c r="I419" s="485"/>
      <c r="J419" s="485"/>
      <c r="K419" s="485"/>
      <c r="L419" s="485"/>
      <c r="M419" s="485"/>
      <c r="N419" s="485"/>
      <c r="O419" s="485"/>
      <c r="P419" s="485"/>
    </row>
    <row r="420" spans="1:16" ht="12.75" x14ac:dyDescent="0.2">
      <c r="A420" s="485"/>
      <c r="B420" s="485"/>
      <c r="C420" s="485"/>
      <c r="D420" s="485"/>
      <c r="E420" s="485"/>
      <c r="F420" s="485"/>
      <c r="G420" s="485"/>
      <c r="H420" s="485"/>
      <c r="I420" s="485"/>
      <c r="J420" s="485"/>
      <c r="K420" s="485"/>
      <c r="L420" s="485"/>
      <c r="M420" s="485"/>
      <c r="N420" s="485"/>
      <c r="O420" s="485"/>
      <c r="P420" s="485"/>
    </row>
    <row r="421" spans="1:16" ht="12.75" x14ac:dyDescent="0.2">
      <c r="A421" s="485"/>
      <c r="B421" s="485"/>
      <c r="C421" s="485"/>
      <c r="D421" s="485"/>
      <c r="E421" s="485"/>
      <c r="F421" s="485"/>
      <c r="G421" s="485"/>
      <c r="H421" s="485"/>
      <c r="I421" s="485"/>
      <c r="J421" s="485"/>
      <c r="K421" s="485"/>
      <c r="L421" s="485"/>
      <c r="M421" s="485"/>
      <c r="N421" s="485"/>
      <c r="O421" s="485"/>
      <c r="P421" s="485"/>
    </row>
    <row r="422" spans="1:16" ht="12.75" x14ac:dyDescent="0.2">
      <c r="A422" s="485"/>
      <c r="B422" s="485"/>
      <c r="C422" s="485"/>
      <c r="D422" s="485"/>
      <c r="E422" s="485"/>
      <c r="F422" s="485"/>
      <c r="G422" s="485"/>
      <c r="H422" s="485"/>
      <c r="I422" s="485"/>
      <c r="J422" s="485"/>
      <c r="K422" s="485"/>
      <c r="L422" s="485"/>
      <c r="M422" s="485"/>
      <c r="N422" s="485"/>
      <c r="O422" s="485"/>
      <c r="P422" s="485"/>
    </row>
    <row r="423" spans="1:16" ht="12.75" x14ac:dyDescent="0.2">
      <c r="A423" s="485"/>
      <c r="B423" s="485"/>
      <c r="C423" s="485"/>
      <c r="D423" s="485"/>
      <c r="E423" s="485"/>
      <c r="F423" s="485"/>
      <c r="G423" s="485"/>
      <c r="H423" s="485"/>
      <c r="I423" s="485"/>
      <c r="J423" s="485"/>
      <c r="K423" s="485"/>
      <c r="L423" s="485"/>
      <c r="M423" s="485"/>
      <c r="N423" s="485"/>
      <c r="O423" s="485"/>
      <c r="P423" s="485"/>
    </row>
    <row r="424" spans="1:16" ht="12.75" x14ac:dyDescent="0.2">
      <c r="A424" s="485"/>
      <c r="B424" s="485"/>
      <c r="C424" s="485"/>
      <c r="D424" s="485"/>
      <c r="E424" s="485"/>
      <c r="F424" s="485"/>
      <c r="G424" s="485"/>
      <c r="H424" s="485"/>
      <c r="I424" s="485"/>
      <c r="J424" s="485"/>
      <c r="K424" s="485"/>
      <c r="L424" s="485"/>
      <c r="M424" s="485"/>
      <c r="N424" s="485"/>
      <c r="O424" s="485"/>
      <c r="P424" s="485"/>
    </row>
    <row r="425" spans="1:16" ht="12.75" x14ac:dyDescent="0.2">
      <c r="A425" s="485"/>
      <c r="B425" s="485"/>
      <c r="C425" s="485"/>
      <c r="D425" s="485"/>
      <c r="E425" s="485"/>
      <c r="F425" s="485"/>
      <c r="G425" s="485"/>
      <c r="H425" s="485"/>
      <c r="I425" s="485"/>
      <c r="J425" s="485"/>
      <c r="K425" s="485"/>
      <c r="L425" s="485"/>
      <c r="M425" s="485"/>
      <c r="N425" s="485"/>
      <c r="O425" s="485"/>
      <c r="P425" s="485"/>
    </row>
    <row r="426" spans="1:16" ht="12.75" x14ac:dyDescent="0.2">
      <c r="A426" s="485"/>
      <c r="B426" s="485"/>
      <c r="C426" s="485"/>
      <c r="D426" s="485"/>
      <c r="E426" s="485"/>
      <c r="F426" s="485"/>
      <c r="G426" s="485"/>
      <c r="H426" s="485"/>
      <c r="I426" s="485"/>
      <c r="J426" s="485"/>
      <c r="K426" s="485"/>
      <c r="L426" s="485"/>
      <c r="M426" s="485"/>
      <c r="N426" s="485"/>
      <c r="O426" s="485"/>
      <c r="P426" s="485"/>
    </row>
    <row r="427" spans="1:16" ht="12.75" x14ac:dyDescent="0.2">
      <c r="A427" s="485"/>
      <c r="B427" s="485"/>
      <c r="C427" s="485"/>
      <c r="D427" s="485"/>
      <c r="E427" s="485"/>
      <c r="F427" s="485"/>
      <c r="G427" s="485"/>
      <c r="H427" s="485"/>
      <c r="I427" s="485"/>
      <c r="J427" s="485"/>
      <c r="K427" s="485"/>
      <c r="L427" s="485"/>
      <c r="M427" s="485"/>
      <c r="N427" s="485"/>
      <c r="O427" s="485"/>
      <c r="P427" s="485"/>
    </row>
    <row r="428" spans="1:16" ht="12.75" x14ac:dyDescent="0.2">
      <c r="A428" s="485"/>
      <c r="B428" s="485"/>
      <c r="C428" s="485"/>
      <c r="D428" s="485"/>
      <c r="E428" s="485"/>
      <c r="F428" s="485"/>
      <c r="G428" s="485"/>
      <c r="H428" s="485"/>
      <c r="I428" s="485"/>
      <c r="J428" s="485"/>
      <c r="K428" s="485"/>
      <c r="L428" s="485"/>
      <c r="M428" s="485"/>
      <c r="N428" s="485"/>
      <c r="O428" s="485"/>
      <c r="P428" s="485"/>
    </row>
    <row r="429" spans="1:16" ht="12.75" x14ac:dyDescent="0.2">
      <c r="A429" s="485"/>
      <c r="B429" s="485"/>
      <c r="C429" s="485"/>
      <c r="D429" s="485"/>
      <c r="E429" s="485"/>
      <c r="F429" s="485"/>
      <c r="G429" s="485"/>
      <c r="H429" s="485"/>
      <c r="I429" s="485"/>
      <c r="J429" s="485"/>
      <c r="K429" s="485"/>
      <c r="L429" s="485"/>
      <c r="M429" s="485"/>
      <c r="N429" s="485"/>
      <c r="O429" s="485"/>
      <c r="P429" s="485"/>
    </row>
    <row r="430" spans="1:16" ht="12.75" x14ac:dyDescent="0.2">
      <c r="A430" s="485"/>
      <c r="B430" s="485"/>
      <c r="C430" s="485"/>
      <c r="D430" s="485"/>
      <c r="E430" s="485"/>
      <c r="F430" s="485"/>
      <c r="G430" s="485"/>
      <c r="H430" s="485"/>
      <c r="I430" s="485"/>
      <c r="J430" s="485"/>
      <c r="K430" s="485"/>
      <c r="L430" s="485"/>
      <c r="M430" s="485"/>
      <c r="N430" s="485"/>
      <c r="O430" s="485"/>
      <c r="P430" s="485"/>
    </row>
    <row r="431" spans="1:16" ht="12.75" x14ac:dyDescent="0.2">
      <c r="A431" s="485"/>
      <c r="B431" s="485"/>
      <c r="C431" s="485"/>
      <c r="D431" s="485"/>
      <c r="E431" s="485"/>
      <c r="F431" s="485"/>
      <c r="G431" s="485"/>
      <c r="H431" s="485"/>
      <c r="I431" s="485"/>
      <c r="J431" s="485"/>
      <c r="K431" s="485"/>
      <c r="L431" s="485"/>
      <c r="M431" s="485"/>
      <c r="N431" s="485"/>
      <c r="O431" s="485"/>
      <c r="P431" s="485"/>
    </row>
    <row r="432" spans="1:16" ht="12.75" x14ac:dyDescent="0.2">
      <c r="A432" s="485"/>
      <c r="B432" s="485"/>
      <c r="C432" s="485"/>
      <c r="D432" s="485"/>
      <c r="E432" s="485"/>
      <c r="F432" s="485"/>
      <c r="G432" s="485"/>
      <c r="H432" s="485"/>
      <c r="I432" s="485"/>
      <c r="J432" s="485"/>
      <c r="K432" s="485"/>
      <c r="L432" s="485"/>
      <c r="M432" s="485"/>
      <c r="N432" s="485"/>
      <c r="O432" s="485"/>
      <c r="P432" s="485"/>
    </row>
    <row r="433" spans="1:16" ht="12.75" x14ac:dyDescent="0.2">
      <c r="A433" s="485"/>
      <c r="B433" s="485"/>
      <c r="C433" s="485"/>
      <c r="D433" s="485"/>
      <c r="E433" s="485"/>
      <c r="F433" s="485"/>
      <c r="G433" s="485"/>
      <c r="H433" s="485"/>
      <c r="I433" s="485"/>
      <c r="J433" s="485"/>
      <c r="K433" s="485"/>
      <c r="L433" s="485"/>
      <c r="M433" s="485"/>
      <c r="N433" s="485"/>
      <c r="O433" s="485"/>
      <c r="P433" s="485"/>
    </row>
    <row r="434" spans="1:16" ht="12.75" x14ac:dyDescent="0.2">
      <c r="A434" s="485"/>
      <c r="B434" s="485"/>
      <c r="C434" s="485"/>
      <c r="D434" s="485"/>
      <c r="E434" s="485"/>
      <c r="F434" s="485"/>
      <c r="G434" s="485"/>
      <c r="H434" s="485"/>
      <c r="I434" s="485"/>
      <c r="J434" s="485"/>
      <c r="K434" s="485"/>
      <c r="L434" s="485"/>
      <c r="M434" s="485"/>
      <c r="N434" s="485"/>
      <c r="O434" s="485"/>
      <c r="P434" s="485"/>
    </row>
    <row r="435" spans="1:16" ht="12.75" x14ac:dyDescent="0.2">
      <c r="A435" s="485"/>
      <c r="B435" s="485"/>
      <c r="C435" s="485"/>
      <c r="D435" s="485"/>
      <c r="E435" s="485"/>
      <c r="F435" s="485"/>
      <c r="G435" s="485"/>
      <c r="H435" s="485"/>
      <c r="I435" s="485"/>
      <c r="J435" s="485"/>
      <c r="K435" s="485"/>
      <c r="L435" s="485"/>
      <c r="M435" s="485"/>
      <c r="N435" s="485"/>
      <c r="O435" s="485"/>
      <c r="P435" s="485"/>
    </row>
    <row r="436" spans="1:16" ht="12.75" x14ac:dyDescent="0.2">
      <c r="A436" s="485"/>
      <c r="B436" s="485"/>
      <c r="C436" s="485"/>
      <c r="D436" s="485"/>
      <c r="E436" s="485"/>
      <c r="F436" s="485"/>
      <c r="G436" s="485"/>
      <c r="H436" s="485"/>
      <c r="I436" s="485"/>
      <c r="J436" s="485"/>
      <c r="K436" s="485"/>
      <c r="L436" s="485"/>
      <c r="M436" s="485"/>
      <c r="N436" s="485"/>
      <c r="O436" s="485"/>
      <c r="P436" s="485"/>
    </row>
    <row r="437" spans="1:16" ht="12.75" x14ac:dyDescent="0.2">
      <c r="A437" s="485"/>
      <c r="B437" s="485"/>
      <c r="C437" s="485"/>
      <c r="D437" s="485"/>
      <c r="E437" s="485"/>
      <c r="F437" s="485"/>
      <c r="G437" s="485"/>
      <c r="H437" s="485"/>
      <c r="I437" s="485"/>
      <c r="J437" s="485"/>
      <c r="K437" s="485"/>
      <c r="L437" s="485"/>
      <c r="M437" s="485"/>
      <c r="N437" s="485"/>
      <c r="O437" s="485"/>
      <c r="P437" s="485"/>
    </row>
    <row r="438" spans="1:16" ht="12.75" x14ac:dyDescent="0.2">
      <c r="A438" s="485"/>
      <c r="B438" s="485"/>
      <c r="C438" s="485"/>
      <c r="D438" s="485"/>
      <c r="E438" s="485"/>
      <c r="F438" s="485"/>
      <c r="G438" s="485"/>
      <c r="H438" s="485"/>
      <c r="I438" s="485"/>
      <c r="J438" s="485"/>
      <c r="K438" s="485"/>
      <c r="L438" s="485"/>
      <c r="M438" s="485"/>
      <c r="N438" s="485"/>
      <c r="O438" s="485"/>
      <c r="P438" s="485"/>
    </row>
    <row r="439" spans="1:16" ht="12.75" x14ac:dyDescent="0.2">
      <c r="A439" s="485"/>
      <c r="B439" s="485"/>
      <c r="C439" s="485"/>
      <c r="D439" s="485"/>
      <c r="E439" s="485"/>
      <c r="F439" s="485"/>
      <c r="G439" s="485"/>
      <c r="H439" s="485"/>
      <c r="I439" s="485"/>
      <c r="J439" s="485"/>
      <c r="K439" s="485"/>
      <c r="L439" s="485"/>
      <c r="M439" s="485"/>
      <c r="N439" s="485"/>
      <c r="O439" s="485"/>
      <c r="P439" s="485"/>
    </row>
    <row r="440" spans="1:16" ht="12.75" x14ac:dyDescent="0.2">
      <c r="A440" s="485"/>
      <c r="B440" s="485"/>
      <c r="C440" s="485"/>
      <c r="D440" s="485"/>
      <c r="E440" s="485"/>
      <c r="F440" s="485"/>
      <c r="G440" s="485"/>
      <c r="H440" s="485"/>
      <c r="I440" s="485"/>
      <c r="J440" s="485"/>
      <c r="K440" s="485"/>
      <c r="L440" s="485"/>
      <c r="M440" s="485"/>
      <c r="N440" s="485"/>
      <c r="O440" s="485"/>
      <c r="P440" s="485"/>
    </row>
    <row r="441" spans="1:16" ht="12.75" x14ac:dyDescent="0.2">
      <c r="A441" s="485"/>
      <c r="B441" s="485"/>
      <c r="C441" s="485"/>
      <c r="D441" s="485"/>
      <c r="E441" s="485"/>
      <c r="F441" s="485"/>
      <c r="G441" s="485"/>
      <c r="H441" s="485"/>
      <c r="I441" s="485"/>
      <c r="J441" s="485"/>
      <c r="K441" s="485"/>
      <c r="L441" s="485"/>
      <c r="M441" s="485"/>
      <c r="N441" s="485"/>
      <c r="O441" s="485"/>
      <c r="P441" s="485"/>
    </row>
    <row r="442" spans="1:16" ht="12.75" x14ac:dyDescent="0.2">
      <c r="A442" s="485"/>
      <c r="B442" s="485"/>
      <c r="C442" s="485"/>
      <c r="D442" s="485"/>
      <c r="E442" s="485"/>
      <c r="F442" s="485"/>
      <c r="G442" s="485"/>
      <c r="H442" s="485"/>
      <c r="I442" s="485"/>
      <c r="J442" s="485"/>
      <c r="K442" s="485"/>
      <c r="L442" s="485"/>
      <c r="M442" s="485"/>
      <c r="N442" s="485"/>
      <c r="O442" s="485"/>
      <c r="P442" s="485"/>
    </row>
    <row r="443" spans="1:16" ht="12.75" x14ac:dyDescent="0.2">
      <c r="A443" s="485"/>
      <c r="B443" s="485"/>
      <c r="C443" s="485"/>
      <c r="D443" s="485"/>
      <c r="E443" s="485"/>
      <c r="F443" s="485"/>
      <c r="G443" s="485"/>
      <c r="H443" s="485"/>
      <c r="I443" s="485"/>
      <c r="J443" s="485"/>
      <c r="K443" s="485"/>
      <c r="L443" s="485"/>
      <c r="M443" s="485"/>
      <c r="N443" s="485"/>
      <c r="O443" s="485"/>
      <c r="P443" s="485"/>
    </row>
    <row r="444" spans="1:16" ht="12.75" x14ac:dyDescent="0.2">
      <c r="A444" s="485"/>
      <c r="B444" s="485"/>
      <c r="C444" s="485"/>
      <c r="D444" s="485"/>
      <c r="E444" s="485"/>
      <c r="F444" s="485"/>
      <c r="G444" s="485"/>
      <c r="H444" s="485"/>
      <c r="I444" s="485"/>
      <c r="J444" s="485"/>
      <c r="K444" s="485"/>
      <c r="L444" s="485"/>
      <c r="M444" s="485"/>
      <c r="N444" s="485"/>
      <c r="O444" s="485"/>
      <c r="P444" s="485"/>
    </row>
    <row r="445" spans="1:16" ht="12.75" x14ac:dyDescent="0.2">
      <c r="A445" s="485"/>
      <c r="B445" s="485"/>
      <c r="C445" s="485"/>
      <c r="D445" s="485"/>
      <c r="E445" s="485"/>
      <c r="F445" s="485"/>
      <c r="G445" s="485"/>
      <c r="H445" s="485"/>
      <c r="I445" s="485"/>
      <c r="J445" s="485"/>
      <c r="K445" s="485"/>
      <c r="L445" s="485"/>
      <c r="M445" s="485"/>
      <c r="N445" s="485"/>
      <c r="O445" s="485"/>
      <c r="P445" s="485"/>
    </row>
    <row r="446" spans="1:16" ht="12.75" x14ac:dyDescent="0.2">
      <c r="A446" s="485"/>
      <c r="B446" s="485"/>
      <c r="C446" s="485"/>
      <c r="D446" s="485"/>
      <c r="E446" s="485"/>
      <c r="F446" s="485"/>
      <c r="G446" s="485"/>
      <c r="H446" s="485"/>
      <c r="I446" s="485"/>
      <c r="J446" s="485"/>
      <c r="K446" s="485"/>
      <c r="L446" s="485"/>
      <c r="M446" s="485"/>
      <c r="N446" s="485"/>
      <c r="O446" s="485"/>
      <c r="P446" s="485"/>
    </row>
    <row r="447" spans="1:16" ht="12.75" x14ac:dyDescent="0.2">
      <c r="A447" s="485"/>
      <c r="B447" s="485"/>
      <c r="C447" s="485"/>
      <c r="D447" s="485"/>
      <c r="E447" s="485"/>
      <c r="F447" s="485"/>
      <c r="G447" s="485"/>
      <c r="H447" s="485"/>
      <c r="I447" s="485"/>
      <c r="J447" s="485"/>
      <c r="K447" s="485"/>
      <c r="L447" s="485"/>
      <c r="M447" s="485"/>
      <c r="N447" s="485"/>
      <c r="O447" s="485"/>
      <c r="P447" s="485"/>
    </row>
    <row r="448" spans="1:16" ht="12.75" x14ac:dyDescent="0.2">
      <c r="A448" s="485"/>
      <c r="B448" s="485"/>
      <c r="C448" s="485"/>
      <c r="D448" s="485"/>
      <c r="E448" s="485"/>
      <c r="F448" s="485"/>
      <c r="G448" s="485"/>
      <c r="H448" s="485"/>
      <c r="I448" s="485"/>
      <c r="J448" s="485"/>
      <c r="K448" s="485"/>
      <c r="L448" s="485"/>
      <c r="M448" s="485"/>
      <c r="N448" s="485"/>
      <c r="O448" s="485"/>
      <c r="P448" s="485"/>
    </row>
    <row r="449" spans="1:16" ht="12.75" x14ac:dyDescent="0.2">
      <c r="A449" s="485"/>
      <c r="B449" s="485"/>
      <c r="C449" s="485"/>
      <c r="D449" s="485"/>
      <c r="E449" s="485"/>
      <c r="F449" s="485"/>
      <c r="G449" s="485"/>
      <c r="H449" s="485"/>
      <c r="I449" s="485"/>
      <c r="J449" s="485"/>
      <c r="K449" s="485"/>
      <c r="L449" s="485"/>
      <c r="M449" s="485"/>
      <c r="N449" s="485"/>
      <c r="O449" s="485"/>
      <c r="P449" s="485"/>
    </row>
    <row r="450" spans="1:16" ht="12.75" x14ac:dyDescent="0.2">
      <c r="A450" s="485"/>
      <c r="B450" s="485"/>
      <c r="C450" s="485"/>
      <c r="D450" s="485"/>
      <c r="E450" s="485"/>
      <c r="F450" s="485"/>
      <c r="G450" s="485"/>
      <c r="H450" s="485"/>
      <c r="I450" s="485"/>
      <c r="J450" s="485"/>
      <c r="K450" s="485"/>
      <c r="L450" s="485"/>
      <c r="M450" s="485"/>
      <c r="N450" s="485"/>
      <c r="O450" s="485"/>
      <c r="P450" s="485"/>
    </row>
    <row r="451" spans="1:16" ht="12.75" x14ac:dyDescent="0.2">
      <c r="A451" s="485"/>
      <c r="B451" s="485"/>
      <c r="C451" s="485"/>
      <c r="D451" s="485"/>
      <c r="E451" s="485"/>
      <c r="F451" s="485"/>
      <c r="G451" s="485"/>
      <c r="H451" s="485"/>
      <c r="I451" s="485"/>
      <c r="J451" s="485"/>
      <c r="K451" s="485"/>
      <c r="L451" s="485"/>
      <c r="M451" s="485"/>
      <c r="N451" s="485"/>
      <c r="O451" s="485"/>
      <c r="P451" s="485"/>
    </row>
    <row r="452" spans="1:16" ht="12.75" x14ac:dyDescent="0.2">
      <c r="A452" s="485"/>
      <c r="B452" s="485"/>
      <c r="C452" s="485"/>
      <c r="D452" s="485"/>
      <c r="E452" s="485"/>
      <c r="F452" s="485"/>
      <c r="G452" s="485"/>
      <c r="H452" s="485"/>
      <c r="I452" s="485"/>
      <c r="J452" s="485"/>
      <c r="K452" s="485"/>
      <c r="L452" s="485"/>
      <c r="M452" s="485"/>
      <c r="N452" s="485"/>
      <c r="O452" s="485"/>
      <c r="P452" s="485"/>
    </row>
    <row r="453" spans="1:16" ht="12.75" x14ac:dyDescent="0.2">
      <c r="A453" s="485"/>
      <c r="B453" s="485"/>
      <c r="C453" s="485"/>
      <c r="D453" s="485"/>
      <c r="E453" s="485"/>
      <c r="F453" s="485"/>
      <c r="G453" s="485"/>
      <c r="H453" s="485"/>
      <c r="I453" s="485"/>
      <c r="J453" s="485"/>
      <c r="K453" s="485"/>
      <c r="L453" s="485"/>
      <c r="M453" s="485"/>
      <c r="N453" s="485"/>
      <c r="O453" s="485"/>
      <c r="P453" s="485"/>
    </row>
    <row r="454" spans="1:16" ht="12.75" x14ac:dyDescent="0.2">
      <c r="A454" s="485"/>
      <c r="B454" s="485"/>
      <c r="C454" s="485"/>
      <c r="D454" s="485"/>
      <c r="E454" s="485"/>
      <c r="F454" s="485"/>
      <c r="G454" s="485"/>
      <c r="H454" s="485"/>
      <c r="I454" s="485"/>
      <c r="J454" s="485"/>
      <c r="K454" s="485"/>
      <c r="L454" s="485"/>
      <c r="M454" s="485"/>
      <c r="N454" s="485"/>
      <c r="O454" s="485"/>
      <c r="P454" s="485"/>
    </row>
    <row r="455" spans="1:16" ht="12.75" x14ac:dyDescent="0.2">
      <c r="A455" s="485"/>
      <c r="B455" s="485"/>
      <c r="C455" s="485"/>
      <c r="D455" s="485"/>
      <c r="E455" s="485"/>
      <c r="F455" s="485"/>
      <c r="G455" s="485"/>
      <c r="H455" s="485"/>
      <c r="I455" s="485"/>
      <c r="J455" s="485"/>
      <c r="K455" s="485"/>
      <c r="L455" s="485"/>
      <c r="M455" s="485"/>
      <c r="N455" s="485"/>
      <c r="O455" s="485"/>
      <c r="P455" s="485"/>
    </row>
    <row r="456" spans="1:16" ht="12.75" x14ac:dyDescent="0.2">
      <c r="A456" s="485"/>
      <c r="B456" s="485"/>
      <c r="C456" s="485"/>
      <c r="D456" s="485"/>
      <c r="E456" s="485"/>
      <c r="F456" s="485"/>
      <c r="G456" s="485"/>
      <c r="H456" s="485"/>
      <c r="I456" s="485"/>
      <c r="J456" s="485"/>
      <c r="K456" s="485"/>
      <c r="L456" s="485"/>
      <c r="M456" s="485"/>
      <c r="N456" s="485"/>
      <c r="O456" s="485"/>
      <c r="P456" s="485"/>
    </row>
    <row r="457" spans="1:16" ht="12.75" x14ac:dyDescent="0.2">
      <c r="A457" s="485"/>
      <c r="B457" s="485"/>
      <c r="C457" s="485"/>
      <c r="D457" s="485"/>
      <c r="E457" s="485"/>
      <c r="F457" s="485"/>
      <c r="G457" s="485"/>
      <c r="H457" s="485"/>
      <c r="I457" s="485"/>
      <c r="J457" s="485"/>
      <c r="K457" s="485"/>
      <c r="L457" s="485"/>
      <c r="M457" s="485"/>
      <c r="N457" s="485"/>
      <c r="O457" s="485"/>
      <c r="P457" s="485"/>
    </row>
    <row r="458" spans="1:16" ht="12.75" x14ac:dyDescent="0.2">
      <c r="A458" s="485"/>
      <c r="B458" s="485"/>
      <c r="C458" s="485"/>
      <c r="D458" s="485"/>
      <c r="E458" s="485"/>
      <c r="F458" s="485"/>
      <c r="G458" s="485"/>
      <c r="H458" s="485"/>
      <c r="I458" s="485"/>
      <c r="J458" s="485"/>
      <c r="K458" s="485"/>
      <c r="L458" s="485"/>
      <c r="M458" s="485"/>
      <c r="N458" s="485"/>
      <c r="O458" s="485"/>
      <c r="P458" s="485"/>
    </row>
    <row r="459" spans="1:16" ht="12.75" x14ac:dyDescent="0.2">
      <c r="A459" s="485"/>
      <c r="B459" s="485"/>
      <c r="C459" s="485"/>
      <c r="D459" s="485"/>
      <c r="E459" s="485"/>
      <c r="F459" s="485"/>
      <c r="G459" s="485"/>
      <c r="H459" s="485"/>
      <c r="I459" s="485"/>
      <c r="J459" s="485"/>
      <c r="K459" s="485"/>
      <c r="L459" s="485"/>
      <c r="M459" s="485"/>
      <c r="N459" s="485"/>
      <c r="O459" s="485"/>
      <c r="P459" s="485"/>
    </row>
    <row r="460" spans="1:16" ht="12.75" x14ac:dyDescent="0.2">
      <c r="A460" s="485"/>
      <c r="B460" s="485"/>
      <c r="C460" s="485"/>
      <c r="D460" s="485"/>
      <c r="E460" s="485"/>
      <c r="F460" s="485"/>
      <c r="G460" s="485"/>
      <c r="H460" s="485"/>
      <c r="I460" s="485"/>
      <c r="J460" s="485"/>
      <c r="K460" s="485"/>
      <c r="L460" s="485"/>
      <c r="M460" s="485"/>
      <c r="N460" s="485"/>
      <c r="O460" s="485"/>
      <c r="P460" s="485"/>
    </row>
    <row r="461" spans="1:16" ht="12.75" x14ac:dyDescent="0.2">
      <c r="A461" s="485"/>
      <c r="B461" s="485"/>
      <c r="C461" s="485"/>
      <c r="D461" s="485"/>
      <c r="E461" s="485"/>
      <c r="F461" s="485"/>
      <c r="G461" s="485"/>
      <c r="H461" s="485"/>
      <c r="I461" s="485"/>
      <c r="J461" s="485"/>
      <c r="K461" s="485"/>
      <c r="L461" s="485"/>
      <c r="M461" s="485"/>
      <c r="N461" s="485"/>
      <c r="O461" s="485"/>
      <c r="P461" s="485"/>
    </row>
    <row r="462" spans="1:16" ht="12.75" x14ac:dyDescent="0.2">
      <c r="A462" s="485"/>
      <c r="B462" s="485"/>
      <c r="C462" s="485"/>
      <c r="D462" s="485"/>
      <c r="E462" s="485"/>
      <c r="F462" s="485"/>
      <c r="G462" s="485"/>
      <c r="H462" s="485"/>
      <c r="I462" s="485"/>
      <c r="J462" s="485"/>
      <c r="K462" s="485"/>
      <c r="L462" s="485"/>
      <c r="M462" s="485"/>
      <c r="N462" s="485"/>
      <c r="O462" s="485"/>
      <c r="P462" s="485"/>
    </row>
    <row r="463" spans="1:16" ht="12.75" x14ac:dyDescent="0.2">
      <c r="A463" s="485"/>
      <c r="B463" s="485"/>
      <c r="C463" s="485"/>
      <c r="D463" s="485"/>
      <c r="E463" s="485"/>
      <c r="F463" s="485"/>
      <c r="G463" s="485"/>
      <c r="H463" s="485"/>
      <c r="I463" s="485"/>
      <c r="J463" s="485"/>
      <c r="K463" s="485"/>
      <c r="L463" s="485"/>
      <c r="M463" s="485"/>
      <c r="N463" s="485"/>
      <c r="O463" s="485"/>
      <c r="P463" s="485"/>
    </row>
    <row r="464" spans="1:16" ht="12.75" x14ac:dyDescent="0.2">
      <c r="A464" s="485"/>
      <c r="B464" s="485"/>
      <c r="C464" s="485"/>
      <c r="D464" s="485"/>
      <c r="E464" s="485"/>
      <c r="F464" s="485"/>
      <c r="G464" s="485"/>
      <c r="H464" s="485"/>
      <c r="I464" s="485"/>
      <c r="J464" s="485"/>
      <c r="K464" s="485"/>
      <c r="L464" s="485"/>
      <c r="M464" s="485"/>
      <c r="N464" s="485"/>
      <c r="O464" s="485"/>
      <c r="P464" s="485"/>
    </row>
    <row r="465" spans="1:16" ht="12.75" x14ac:dyDescent="0.2">
      <c r="A465" s="485"/>
      <c r="B465" s="485"/>
      <c r="C465" s="485"/>
      <c r="D465" s="485"/>
      <c r="E465" s="485"/>
      <c r="F465" s="485"/>
      <c r="G465" s="485"/>
      <c r="H465" s="485"/>
      <c r="I465" s="485"/>
      <c r="J465" s="485"/>
      <c r="K465" s="485"/>
      <c r="L465" s="485"/>
      <c r="M465" s="485"/>
      <c r="N465" s="485"/>
      <c r="O465" s="485"/>
      <c r="P465" s="485"/>
    </row>
    <row r="466" spans="1:16" ht="12.75" x14ac:dyDescent="0.2">
      <c r="A466" s="485"/>
      <c r="B466" s="485"/>
      <c r="C466" s="485"/>
      <c r="D466" s="485"/>
      <c r="E466" s="485"/>
      <c r="F466" s="485"/>
      <c r="G466" s="485"/>
      <c r="H466" s="485"/>
      <c r="I466" s="485"/>
      <c r="J466" s="485"/>
      <c r="K466" s="485"/>
      <c r="L466" s="485"/>
      <c r="M466" s="485"/>
      <c r="N466" s="485"/>
      <c r="O466" s="485"/>
      <c r="P466" s="485"/>
    </row>
    <row r="467" spans="1:16" ht="12.75" x14ac:dyDescent="0.2">
      <c r="A467" s="485"/>
      <c r="B467" s="485"/>
      <c r="C467" s="485"/>
      <c r="D467" s="485"/>
      <c r="E467" s="485"/>
      <c r="F467" s="485"/>
      <c r="G467" s="485"/>
      <c r="H467" s="485"/>
      <c r="I467" s="485"/>
      <c r="J467" s="485"/>
      <c r="K467" s="485"/>
      <c r="L467" s="485"/>
      <c r="M467" s="485"/>
      <c r="N467" s="485"/>
      <c r="O467" s="485"/>
      <c r="P467" s="485"/>
    </row>
    <row r="468" spans="1:16" ht="12.75" x14ac:dyDescent="0.2">
      <c r="A468" s="485"/>
      <c r="B468" s="485"/>
      <c r="C468" s="485"/>
      <c r="D468" s="485"/>
      <c r="E468" s="485"/>
      <c r="F468" s="485"/>
      <c r="G468" s="485"/>
      <c r="H468" s="485"/>
      <c r="I468" s="485"/>
      <c r="J468" s="485"/>
      <c r="K468" s="485"/>
      <c r="L468" s="485"/>
      <c r="M468" s="485"/>
      <c r="N468" s="485"/>
      <c r="O468" s="485"/>
      <c r="P468" s="485"/>
    </row>
    <row r="469" spans="1:16" ht="12.75" x14ac:dyDescent="0.2">
      <c r="A469" s="485"/>
      <c r="B469" s="485"/>
      <c r="C469" s="485"/>
      <c r="D469" s="485"/>
      <c r="E469" s="485"/>
      <c r="F469" s="485"/>
      <c r="G469" s="485"/>
      <c r="H469" s="485"/>
      <c r="I469" s="485"/>
      <c r="J469" s="485"/>
      <c r="K469" s="485"/>
      <c r="L469" s="485"/>
      <c r="M469" s="485"/>
      <c r="N469" s="485"/>
      <c r="O469" s="485"/>
      <c r="P469" s="485"/>
    </row>
    <row r="470" spans="1:16" ht="12.75" x14ac:dyDescent="0.2">
      <c r="A470" s="485"/>
      <c r="B470" s="485"/>
      <c r="C470" s="485"/>
      <c r="D470" s="485"/>
      <c r="E470" s="485"/>
      <c r="F470" s="485"/>
      <c r="G470" s="485"/>
      <c r="H470" s="485"/>
      <c r="I470" s="485"/>
      <c r="J470" s="485"/>
      <c r="K470" s="485"/>
      <c r="L470" s="485"/>
      <c r="M470" s="485"/>
      <c r="N470" s="485"/>
      <c r="O470" s="485"/>
      <c r="P470" s="485"/>
    </row>
    <row r="471" spans="1:16" ht="12.75" x14ac:dyDescent="0.2">
      <c r="A471" s="485"/>
      <c r="B471" s="485"/>
      <c r="C471" s="485"/>
      <c r="D471" s="485"/>
      <c r="E471" s="485"/>
      <c r="F471" s="485"/>
      <c r="G471" s="485"/>
      <c r="H471" s="485"/>
      <c r="I471" s="485"/>
      <c r="J471" s="485"/>
      <c r="K471" s="485"/>
      <c r="L471" s="485"/>
      <c r="M471" s="485"/>
      <c r="N471" s="485"/>
      <c r="O471" s="485"/>
      <c r="P471" s="485"/>
    </row>
    <row r="472" spans="1:16" ht="12.75" x14ac:dyDescent="0.2">
      <c r="A472" s="485"/>
      <c r="B472" s="485"/>
      <c r="C472" s="485"/>
      <c r="D472" s="485"/>
      <c r="E472" s="485"/>
      <c r="F472" s="485"/>
      <c r="G472" s="485"/>
      <c r="H472" s="485"/>
      <c r="I472" s="485"/>
      <c r="J472" s="485"/>
      <c r="K472" s="485"/>
      <c r="L472" s="485"/>
      <c r="M472" s="485"/>
      <c r="N472" s="485"/>
      <c r="O472" s="485"/>
      <c r="P472" s="485"/>
    </row>
    <row r="473" spans="1:16" ht="12.75" x14ac:dyDescent="0.2">
      <c r="A473" s="485"/>
      <c r="B473" s="485"/>
      <c r="C473" s="485"/>
      <c r="D473" s="485"/>
      <c r="E473" s="485"/>
      <c r="F473" s="485"/>
      <c r="G473" s="485"/>
      <c r="H473" s="485"/>
      <c r="I473" s="485"/>
      <c r="J473" s="485"/>
      <c r="K473" s="485"/>
      <c r="L473" s="485"/>
      <c r="M473" s="485"/>
      <c r="N473" s="485"/>
      <c r="O473" s="485"/>
      <c r="P473" s="485"/>
    </row>
    <row r="474" spans="1:16" ht="12.75" x14ac:dyDescent="0.2">
      <c r="A474" s="485"/>
      <c r="B474" s="485"/>
      <c r="C474" s="485"/>
      <c r="D474" s="485"/>
      <c r="E474" s="485"/>
      <c r="F474" s="485"/>
      <c r="G474" s="485"/>
      <c r="H474" s="485"/>
      <c r="I474" s="485"/>
      <c r="J474" s="485"/>
      <c r="K474" s="485"/>
      <c r="L474" s="485"/>
      <c r="M474" s="485"/>
      <c r="N474" s="485"/>
      <c r="O474" s="485"/>
      <c r="P474" s="485"/>
    </row>
    <row r="475" spans="1:16" ht="12.75" x14ac:dyDescent="0.2">
      <c r="A475" s="485"/>
      <c r="B475" s="485"/>
      <c r="C475" s="485"/>
      <c r="D475" s="485"/>
      <c r="E475" s="485"/>
      <c r="F475" s="485"/>
      <c r="G475" s="485"/>
      <c r="H475" s="485"/>
      <c r="I475" s="485"/>
      <c r="J475" s="485"/>
      <c r="K475" s="485"/>
      <c r="L475" s="485"/>
      <c r="M475" s="485"/>
      <c r="N475" s="485"/>
      <c r="O475" s="485"/>
      <c r="P475" s="485"/>
    </row>
    <row r="476" spans="1:16" ht="12.75" x14ac:dyDescent="0.2">
      <c r="A476" s="485"/>
      <c r="B476" s="485"/>
      <c r="C476" s="485"/>
      <c r="D476" s="485"/>
      <c r="E476" s="485"/>
      <c r="F476" s="485"/>
      <c r="G476" s="485"/>
      <c r="H476" s="485"/>
      <c r="I476" s="485"/>
      <c r="J476" s="485"/>
      <c r="K476" s="485"/>
      <c r="L476" s="485"/>
      <c r="M476" s="485"/>
      <c r="N476" s="485"/>
      <c r="O476" s="485"/>
      <c r="P476" s="485"/>
    </row>
    <row r="477" spans="1:16" ht="12.75" x14ac:dyDescent="0.2">
      <c r="A477" s="485"/>
      <c r="B477" s="485"/>
      <c r="C477" s="485"/>
      <c r="D477" s="485"/>
      <c r="E477" s="485"/>
      <c r="F477" s="485"/>
      <c r="G477" s="485"/>
      <c r="H477" s="485"/>
      <c r="I477" s="485"/>
      <c r="J477" s="485"/>
      <c r="K477" s="485"/>
      <c r="L477" s="485"/>
      <c r="M477" s="485"/>
      <c r="N477" s="485"/>
      <c r="O477" s="485"/>
      <c r="P477" s="485"/>
    </row>
    <row r="478" spans="1:16" ht="12.75" x14ac:dyDescent="0.2">
      <c r="A478" s="485"/>
      <c r="B478" s="485"/>
      <c r="C478" s="485"/>
      <c r="D478" s="485"/>
      <c r="E478" s="485"/>
      <c r="F478" s="485"/>
      <c r="G478" s="485"/>
      <c r="H478" s="485"/>
      <c r="I478" s="485"/>
      <c r="J478" s="485"/>
      <c r="K478" s="485"/>
      <c r="L478" s="485"/>
      <c r="M478" s="485"/>
      <c r="N478" s="485"/>
      <c r="O478" s="485"/>
      <c r="P478" s="485"/>
    </row>
    <row r="479" spans="1:16" ht="12.75" x14ac:dyDescent="0.2">
      <c r="A479" s="485"/>
      <c r="B479" s="485"/>
      <c r="C479" s="485"/>
      <c r="D479" s="485"/>
      <c r="E479" s="485"/>
      <c r="F479" s="485"/>
      <c r="G479" s="485"/>
      <c r="H479" s="485"/>
      <c r="I479" s="485"/>
      <c r="J479" s="485"/>
      <c r="K479" s="485"/>
      <c r="L479" s="485"/>
      <c r="M479" s="485"/>
      <c r="N479" s="485"/>
      <c r="O479" s="485"/>
      <c r="P479" s="485"/>
    </row>
    <row r="480" spans="1:16" ht="12.75" x14ac:dyDescent="0.2">
      <c r="A480" s="485"/>
      <c r="B480" s="485"/>
      <c r="C480" s="485"/>
      <c r="D480" s="485"/>
      <c r="E480" s="485"/>
      <c r="F480" s="485"/>
      <c r="G480" s="485"/>
      <c r="H480" s="485"/>
      <c r="I480" s="485"/>
      <c r="J480" s="485"/>
      <c r="K480" s="485"/>
      <c r="L480" s="485"/>
      <c r="M480" s="485"/>
      <c r="N480" s="485"/>
      <c r="O480" s="485"/>
      <c r="P480" s="485"/>
    </row>
    <row r="481" spans="1:16" ht="12.75" x14ac:dyDescent="0.2">
      <c r="A481" s="485"/>
      <c r="B481" s="485"/>
      <c r="C481" s="485"/>
      <c r="D481" s="485"/>
      <c r="E481" s="485"/>
      <c r="F481" s="485"/>
      <c r="G481" s="485"/>
      <c r="H481" s="485"/>
      <c r="I481" s="485"/>
      <c r="J481" s="485"/>
      <c r="K481" s="485"/>
      <c r="L481" s="485"/>
      <c r="M481" s="485"/>
      <c r="N481" s="485"/>
      <c r="O481" s="485"/>
      <c r="P481" s="485"/>
    </row>
    <row r="482" spans="1:16" ht="12.75" x14ac:dyDescent="0.2">
      <c r="A482" s="485"/>
      <c r="B482" s="485"/>
      <c r="C482" s="485"/>
      <c r="D482" s="485"/>
      <c r="E482" s="485"/>
      <c r="F482" s="485"/>
      <c r="G482" s="485"/>
      <c r="H482" s="485"/>
      <c r="I482" s="485"/>
      <c r="J482" s="485"/>
      <c r="K482" s="485"/>
      <c r="L482" s="485"/>
      <c r="M482" s="485"/>
      <c r="N482" s="485"/>
      <c r="O482" s="485"/>
      <c r="P482" s="485"/>
    </row>
    <row r="483" spans="1:16" ht="12.75" x14ac:dyDescent="0.2">
      <c r="A483" s="485"/>
      <c r="B483" s="485"/>
      <c r="C483" s="485"/>
      <c r="D483" s="485"/>
      <c r="E483" s="485"/>
      <c r="F483" s="485"/>
      <c r="G483" s="485"/>
      <c r="H483" s="485"/>
      <c r="I483" s="485"/>
      <c r="J483" s="485"/>
      <c r="K483" s="485"/>
      <c r="L483" s="485"/>
      <c r="M483" s="485"/>
      <c r="N483" s="485"/>
      <c r="O483" s="485"/>
      <c r="P483" s="485"/>
    </row>
    <row r="484" spans="1:16" ht="12.75" x14ac:dyDescent="0.2">
      <c r="A484" s="485"/>
      <c r="B484" s="485"/>
      <c r="C484" s="485"/>
      <c r="D484" s="485"/>
      <c r="E484" s="485"/>
      <c r="F484" s="485"/>
      <c r="G484" s="485"/>
      <c r="H484" s="485"/>
      <c r="I484" s="485"/>
      <c r="J484" s="485"/>
      <c r="K484" s="485"/>
      <c r="L484" s="485"/>
      <c r="M484" s="485"/>
      <c r="N484" s="485"/>
      <c r="O484" s="485"/>
      <c r="P484" s="485"/>
    </row>
    <row r="485" spans="1:16" ht="12.75" x14ac:dyDescent="0.2">
      <c r="A485" s="485"/>
      <c r="B485" s="485"/>
      <c r="C485" s="485"/>
      <c r="D485" s="485"/>
      <c r="E485" s="485"/>
      <c r="F485" s="485"/>
      <c r="G485" s="485"/>
      <c r="H485" s="485"/>
      <c r="I485" s="485"/>
      <c r="J485" s="485"/>
      <c r="K485" s="485"/>
      <c r="L485" s="485"/>
      <c r="M485" s="485"/>
      <c r="N485" s="485"/>
      <c r="O485" s="485"/>
      <c r="P485" s="485"/>
    </row>
    <row r="486" spans="1:16" ht="12.75" x14ac:dyDescent="0.2">
      <c r="A486" s="485"/>
      <c r="B486" s="485"/>
      <c r="C486" s="485"/>
      <c r="D486" s="485"/>
      <c r="E486" s="485"/>
      <c r="F486" s="485"/>
      <c r="G486" s="485"/>
      <c r="H486" s="485"/>
      <c r="I486" s="485"/>
      <c r="J486" s="485"/>
      <c r="K486" s="485"/>
      <c r="L486" s="485"/>
      <c r="M486" s="485"/>
      <c r="N486" s="485"/>
      <c r="O486" s="485"/>
      <c r="P486" s="485"/>
    </row>
    <row r="487" spans="1:16" ht="12.75" x14ac:dyDescent="0.2">
      <c r="A487" s="485"/>
      <c r="B487" s="485"/>
      <c r="C487" s="485"/>
      <c r="D487" s="485"/>
      <c r="E487" s="485"/>
      <c r="F487" s="485"/>
      <c r="G487" s="485"/>
      <c r="H487" s="485"/>
      <c r="I487" s="485"/>
      <c r="J487" s="485"/>
      <c r="K487" s="485"/>
      <c r="L487" s="485"/>
      <c r="M487" s="485"/>
      <c r="N487" s="485"/>
      <c r="O487" s="485"/>
      <c r="P487" s="485"/>
    </row>
    <row r="488" spans="1:16" ht="12.75" x14ac:dyDescent="0.2">
      <c r="A488" s="485"/>
      <c r="B488" s="485"/>
      <c r="C488" s="485"/>
      <c r="D488" s="485"/>
      <c r="E488" s="485"/>
      <c r="F488" s="485"/>
      <c r="G488" s="485"/>
      <c r="H488" s="485"/>
      <c r="I488" s="485"/>
      <c r="J488" s="485"/>
      <c r="K488" s="485"/>
      <c r="L488" s="485"/>
      <c r="M488" s="485"/>
      <c r="N488" s="485"/>
      <c r="O488" s="485"/>
      <c r="P488" s="485"/>
    </row>
    <row r="489" spans="1:16" ht="12.75" x14ac:dyDescent="0.2">
      <c r="A489" s="485"/>
      <c r="B489" s="485"/>
      <c r="C489" s="485"/>
      <c r="D489" s="485"/>
      <c r="E489" s="485"/>
      <c r="F489" s="485"/>
      <c r="G489" s="485"/>
      <c r="H489" s="485"/>
      <c r="I489" s="485"/>
      <c r="J489" s="485"/>
      <c r="K489" s="485"/>
      <c r="L489" s="485"/>
      <c r="M489" s="485"/>
      <c r="N489" s="485"/>
      <c r="O489" s="485"/>
      <c r="P489" s="485"/>
    </row>
    <row r="490" spans="1:16" ht="12.75" x14ac:dyDescent="0.2">
      <c r="A490" s="485"/>
      <c r="B490" s="485"/>
      <c r="C490" s="485"/>
      <c r="D490" s="485"/>
      <c r="E490" s="485"/>
      <c r="F490" s="485"/>
      <c r="G490" s="485"/>
      <c r="H490" s="485"/>
      <c r="I490" s="485"/>
      <c r="J490" s="485"/>
      <c r="K490" s="485"/>
      <c r="L490" s="485"/>
      <c r="M490" s="485"/>
      <c r="N490" s="485"/>
      <c r="O490" s="485"/>
      <c r="P490" s="485"/>
    </row>
    <row r="491" spans="1:16" ht="12.75" x14ac:dyDescent="0.2">
      <c r="A491" s="485"/>
      <c r="B491" s="485"/>
      <c r="C491" s="485"/>
      <c r="D491" s="485"/>
      <c r="E491" s="485"/>
      <c r="F491" s="485"/>
      <c r="G491" s="485"/>
      <c r="H491" s="485"/>
      <c r="I491" s="485"/>
      <c r="J491" s="485"/>
      <c r="K491" s="485"/>
      <c r="L491" s="485"/>
      <c r="M491" s="485"/>
      <c r="N491" s="485"/>
      <c r="O491" s="485"/>
      <c r="P491" s="485"/>
    </row>
    <row r="492" spans="1:16" ht="12.75" x14ac:dyDescent="0.2">
      <c r="A492" s="485"/>
      <c r="B492" s="485"/>
      <c r="C492" s="485"/>
      <c r="D492" s="485"/>
      <c r="E492" s="485"/>
      <c r="F492" s="485"/>
      <c r="G492" s="485"/>
      <c r="H492" s="485"/>
      <c r="I492" s="485"/>
      <c r="J492" s="485"/>
      <c r="K492" s="485"/>
      <c r="L492" s="485"/>
      <c r="M492" s="485"/>
      <c r="N492" s="485"/>
      <c r="O492" s="485"/>
      <c r="P492" s="485"/>
    </row>
    <row r="493" spans="1:16" ht="12.75" x14ac:dyDescent="0.2">
      <c r="A493" s="485"/>
      <c r="B493" s="485"/>
      <c r="C493" s="485"/>
      <c r="D493" s="485"/>
      <c r="E493" s="485"/>
      <c r="F493" s="485"/>
      <c r="G493" s="485"/>
      <c r="H493" s="485"/>
      <c r="I493" s="485"/>
      <c r="J493" s="485"/>
      <c r="K493" s="485"/>
      <c r="L493" s="485"/>
      <c r="M493" s="485"/>
      <c r="N493" s="485"/>
      <c r="O493" s="485"/>
      <c r="P493" s="485"/>
    </row>
    <row r="494" spans="1:16" ht="12.75" x14ac:dyDescent="0.2">
      <c r="A494" s="485"/>
      <c r="B494" s="485"/>
      <c r="C494" s="485"/>
      <c r="D494" s="485"/>
      <c r="E494" s="485"/>
      <c r="F494" s="485"/>
      <c r="G494" s="485"/>
      <c r="H494" s="485"/>
      <c r="I494" s="485"/>
      <c r="J494" s="485"/>
      <c r="K494" s="485"/>
      <c r="L494" s="485"/>
      <c r="M494" s="485"/>
      <c r="N494" s="485"/>
      <c r="O494" s="485"/>
      <c r="P494" s="485"/>
    </row>
    <row r="495" spans="1:16" ht="12.75" x14ac:dyDescent="0.2">
      <c r="A495" s="485"/>
      <c r="B495" s="485"/>
      <c r="C495" s="485"/>
      <c r="D495" s="485"/>
      <c r="E495" s="485"/>
      <c r="F495" s="485"/>
      <c r="G495" s="485"/>
      <c r="H495" s="485"/>
      <c r="I495" s="485"/>
      <c r="J495" s="485"/>
      <c r="K495" s="485"/>
      <c r="L495" s="485"/>
      <c r="M495" s="485"/>
      <c r="N495" s="485"/>
      <c r="O495" s="485"/>
      <c r="P495" s="485"/>
    </row>
    <row r="496" spans="1:16" ht="12.75" x14ac:dyDescent="0.2">
      <c r="A496" s="485"/>
      <c r="B496" s="485"/>
      <c r="C496" s="485"/>
      <c r="D496" s="485"/>
      <c r="E496" s="485"/>
      <c r="F496" s="485"/>
      <c r="G496" s="485"/>
      <c r="H496" s="485"/>
      <c r="I496" s="485"/>
      <c r="J496" s="485"/>
      <c r="K496" s="485"/>
      <c r="L496" s="485"/>
      <c r="M496" s="485"/>
      <c r="N496" s="485"/>
      <c r="O496" s="485"/>
      <c r="P496" s="485"/>
    </row>
    <row r="497" spans="1:16" ht="12.75" x14ac:dyDescent="0.2">
      <c r="A497" s="485"/>
      <c r="B497" s="485"/>
      <c r="C497" s="485"/>
      <c r="D497" s="485"/>
      <c r="E497" s="485"/>
      <c r="F497" s="485"/>
      <c r="G497" s="485"/>
      <c r="H497" s="485"/>
      <c r="I497" s="485"/>
      <c r="J497" s="485"/>
      <c r="K497" s="485"/>
      <c r="L497" s="485"/>
      <c r="M497" s="485"/>
      <c r="N497" s="485"/>
      <c r="O497" s="485"/>
      <c r="P497" s="485"/>
    </row>
    <row r="498" spans="1:16" ht="12.75" x14ac:dyDescent="0.2">
      <c r="A498" s="485"/>
      <c r="B498" s="485"/>
      <c r="C498" s="485"/>
      <c r="D498" s="485"/>
      <c r="E498" s="485"/>
      <c r="F498" s="485"/>
      <c r="G498" s="485"/>
      <c r="H498" s="485"/>
      <c r="I498" s="485"/>
      <c r="J498" s="485"/>
      <c r="K498" s="485"/>
      <c r="L498" s="485"/>
      <c r="M498" s="485"/>
      <c r="N498" s="485"/>
      <c r="O498" s="485"/>
      <c r="P498" s="485"/>
    </row>
    <row r="499" spans="1:16" ht="12.75" x14ac:dyDescent="0.2">
      <c r="A499" s="485"/>
      <c r="B499" s="485"/>
      <c r="C499" s="485"/>
      <c r="D499" s="485"/>
      <c r="E499" s="485"/>
      <c r="F499" s="485"/>
      <c r="G499" s="485"/>
      <c r="H499" s="485"/>
      <c r="I499" s="485"/>
      <c r="J499" s="485"/>
      <c r="K499" s="485"/>
      <c r="L499" s="485"/>
      <c r="M499" s="485"/>
      <c r="N499" s="485"/>
      <c r="O499" s="485"/>
      <c r="P499" s="485"/>
    </row>
    <row r="500" spans="1:16" ht="12.75" x14ac:dyDescent="0.2">
      <c r="A500" s="485"/>
      <c r="B500" s="485"/>
      <c r="C500" s="485"/>
      <c r="D500" s="485"/>
      <c r="E500" s="485"/>
      <c r="F500" s="485"/>
      <c r="G500" s="485"/>
      <c r="H500" s="485"/>
      <c r="I500" s="485"/>
      <c r="J500" s="485"/>
      <c r="K500" s="485"/>
      <c r="L500" s="485"/>
      <c r="M500" s="485"/>
      <c r="N500" s="485"/>
      <c r="O500" s="485"/>
      <c r="P500" s="485"/>
    </row>
    <row r="501" spans="1:16" ht="12.75" x14ac:dyDescent="0.2">
      <c r="A501" s="485"/>
      <c r="B501" s="485"/>
      <c r="C501" s="485"/>
      <c r="D501" s="485"/>
      <c r="E501" s="485"/>
      <c r="F501" s="485"/>
      <c r="G501" s="485"/>
      <c r="H501" s="485"/>
      <c r="I501" s="485"/>
      <c r="J501" s="485"/>
      <c r="K501" s="485"/>
      <c r="L501" s="485"/>
      <c r="M501" s="485"/>
      <c r="N501" s="485"/>
      <c r="O501" s="485"/>
      <c r="P501" s="485"/>
    </row>
    <row r="502" spans="1:16" ht="12.75" x14ac:dyDescent="0.2">
      <c r="A502" s="485"/>
      <c r="B502" s="485"/>
      <c r="C502" s="485"/>
      <c r="D502" s="485"/>
      <c r="E502" s="485"/>
      <c r="F502" s="485"/>
      <c r="G502" s="485"/>
      <c r="H502" s="485"/>
      <c r="I502" s="485"/>
      <c r="J502" s="485"/>
      <c r="K502" s="485"/>
      <c r="L502" s="485"/>
      <c r="M502" s="485"/>
      <c r="N502" s="485"/>
      <c r="O502" s="485"/>
      <c r="P502" s="485"/>
    </row>
    <row r="503" spans="1:16" ht="12.75" x14ac:dyDescent="0.2">
      <c r="A503" s="485"/>
      <c r="B503" s="485"/>
      <c r="C503" s="485"/>
      <c r="D503" s="485"/>
      <c r="E503" s="485"/>
      <c r="F503" s="485"/>
      <c r="G503" s="485"/>
      <c r="H503" s="485"/>
      <c r="I503" s="485"/>
      <c r="J503" s="485"/>
      <c r="K503" s="485"/>
      <c r="L503" s="485"/>
      <c r="M503" s="485"/>
      <c r="N503" s="485"/>
      <c r="O503" s="485"/>
      <c r="P503" s="485"/>
    </row>
    <row r="504" spans="1:16" ht="12.75" x14ac:dyDescent="0.2">
      <c r="A504" s="485"/>
      <c r="B504" s="485"/>
      <c r="C504" s="485"/>
      <c r="D504" s="485"/>
      <c r="E504" s="485"/>
      <c r="F504" s="485"/>
      <c r="G504" s="485"/>
      <c r="H504" s="485"/>
      <c r="I504" s="485"/>
      <c r="J504" s="485"/>
      <c r="K504" s="485"/>
      <c r="L504" s="485"/>
      <c r="M504" s="485"/>
      <c r="N504" s="485"/>
      <c r="O504" s="485"/>
      <c r="P504" s="485"/>
    </row>
    <row r="505" spans="1:16" ht="12.75" x14ac:dyDescent="0.2">
      <c r="A505" s="485"/>
      <c r="B505" s="485"/>
      <c r="C505" s="485"/>
      <c r="D505" s="485"/>
      <c r="E505" s="485"/>
      <c r="F505" s="485"/>
      <c r="G505" s="485"/>
      <c r="H505" s="485"/>
      <c r="I505" s="485"/>
      <c r="J505" s="485"/>
      <c r="K505" s="485"/>
      <c r="L505" s="485"/>
      <c r="M505" s="485"/>
      <c r="N505" s="485"/>
      <c r="O505" s="485"/>
      <c r="P505" s="485"/>
    </row>
    <row r="506" spans="1:16" ht="12.75" x14ac:dyDescent="0.2">
      <c r="A506" s="485"/>
      <c r="B506" s="485"/>
      <c r="C506" s="485"/>
      <c r="D506" s="485"/>
      <c r="E506" s="485"/>
      <c r="F506" s="485"/>
      <c r="G506" s="485"/>
      <c r="H506" s="485"/>
      <c r="I506" s="485"/>
      <c r="J506" s="485"/>
      <c r="K506" s="485"/>
      <c r="L506" s="485"/>
      <c r="M506" s="485"/>
      <c r="N506" s="485"/>
      <c r="O506" s="485"/>
      <c r="P506" s="485"/>
    </row>
    <row r="507" spans="1:16" ht="12.75" x14ac:dyDescent="0.2">
      <c r="A507" s="485"/>
      <c r="B507" s="485"/>
      <c r="C507" s="485"/>
      <c r="D507" s="485"/>
      <c r="E507" s="485"/>
      <c r="F507" s="485"/>
      <c r="G507" s="485"/>
      <c r="H507" s="485"/>
      <c r="I507" s="485"/>
      <c r="J507" s="485"/>
      <c r="K507" s="485"/>
      <c r="L507" s="485"/>
      <c r="M507" s="485"/>
      <c r="N507" s="485"/>
      <c r="O507" s="485"/>
      <c r="P507" s="485"/>
    </row>
    <row r="508" spans="1:16" ht="12.75" x14ac:dyDescent="0.2">
      <c r="A508" s="485"/>
      <c r="B508" s="485"/>
      <c r="C508" s="485"/>
      <c r="D508" s="485"/>
      <c r="E508" s="485"/>
      <c r="F508" s="485"/>
      <c r="G508" s="485"/>
      <c r="H508" s="485"/>
      <c r="I508" s="485"/>
      <c r="J508" s="485"/>
      <c r="K508" s="485"/>
      <c r="L508" s="485"/>
      <c r="M508" s="485"/>
      <c r="N508" s="485"/>
      <c r="O508" s="485"/>
      <c r="P508" s="485"/>
    </row>
    <row r="509" spans="1:16" ht="12.75" x14ac:dyDescent="0.2">
      <c r="A509" s="485"/>
      <c r="B509" s="485"/>
      <c r="C509" s="485"/>
      <c r="D509" s="485"/>
      <c r="E509" s="485"/>
      <c r="F509" s="485"/>
      <c r="G509" s="485"/>
      <c r="H509" s="485"/>
      <c r="I509" s="485"/>
      <c r="J509" s="485"/>
      <c r="K509" s="485"/>
      <c r="L509" s="485"/>
      <c r="M509" s="485"/>
      <c r="N509" s="485"/>
      <c r="O509" s="485"/>
      <c r="P509" s="485"/>
    </row>
    <row r="510" spans="1:16" ht="12.75" x14ac:dyDescent="0.2">
      <c r="A510" s="485"/>
      <c r="B510" s="485"/>
      <c r="C510" s="485"/>
      <c r="D510" s="485"/>
      <c r="E510" s="485"/>
      <c r="F510" s="485"/>
      <c r="G510" s="485"/>
      <c r="H510" s="485"/>
      <c r="I510" s="485"/>
      <c r="J510" s="485"/>
      <c r="K510" s="485"/>
      <c r="L510" s="485"/>
      <c r="M510" s="485"/>
      <c r="N510" s="485"/>
      <c r="O510" s="485"/>
      <c r="P510" s="485"/>
    </row>
    <row r="511" spans="1:16" ht="12.75" x14ac:dyDescent="0.2">
      <c r="A511" s="485"/>
      <c r="B511" s="485"/>
      <c r="C511" s="485"/>
      <c r="D511" s="485"/>
      <c r="E511" s="485"/>
      <c r="F511" s="485"/>
      <c r="G511" s="485"/>
      <c r="H511" s="485"/>
      <c r="I511" s="485"/>
      <c r="J511" s="485"/>
      <c r="K511" s="485"/>
      <c r="L511" s="485"/>
      <c r="M511" s="485"/>
      <c r="N511" s="485"/>
      <c r="O511" s="485"/>
      <c r="P511" s="485"/>
    </row>
    <row r="512" spans="1:16" ht="12.75" x14ac:dyDescent="0.2">
      <c r="A512" s="485"/>
      <c r="B512" s="485"/>
      <c r="C512" s="485"/>
      <c r="D512" s="485"/>
      <c r="E512" s="485"/>
      <c r="F512" s="485"/>
      <c r="G512" s="485"/>
      <c r="H512" s="485"/>
      <c r="I512" s="485"/>
      <c r="J512" s="485"/>
      <c r="K512" s="485"/>
      <c r="L512" s="485"/>
      <c r="M512" s="485"/>
      <c r="N512" s="485"/>
      <c r="O512" s="485"/>
      <c r="P512" s="485"/>
    </row>
    <row r="513" spans="1:16" ht="12.75" x14ac:dyDescent="0.2">
      <c r="A513" s="485"/>
      <c r="B513" s="485"/>
      <c r="C513" s="485"/>
      <c r="D513" s="485"/>
      <c r="E513" s="485"/>
      <c r="F513" s="485"/>
      <c r="G513" s="485"/>
      <c r="H513" s="485"/>
      <c r="I513" s="485"/>
      <c r="J513" s="485"/>
      <c r="K513" s="485"/>
      <c r="L513" s="485"/>
      <c r="M513" s="485"/>
      <c r="N513" s="485"/>
      <c r="O513" s="485"/>
      <c r="P513" s="485"/>
    </row>
    <row r="514" spans="1:16" ht="12.75" x14ac:dyDescent="0.2">
      <c r="A514" s="485"/>
      <c r="B514" s="485"/>
      <c r="C514" s="485"/>
      <c r="D514" s="485"/>
      <c r="E514" s="485"/>
      <c r="F514" s="485"/>
      <c r="G514" s="485"/>
      <c r="H514" s="485"/>
      <c r="I514" s="485"/>
      <c r="J514" s="485"/>
      <c r="K514" s="485"/>
      <c r="L514" s="485"/>
      <c r="M514" s="485"/>
      <c r="N514" s="485"/>
      <c r="O514" s="485"/>
      <c r="P514" s="485"/>
    </row>
    <row r="515" spans="1:16" ht="12.75" x14ac:dyDescent="0.2">
      <c r="A515" s="485"/>
      <c r="B515" s="485"/>
      <c r="C515" s="485"/>
      <c r="D515" s="485"/>
      <c r="E515" s="485"/>
      <c r="F515" s="485"/>
      <c r="G515" s="485"/>
      <c r="H515" s="485"/>
      <c r="I515" s="485"/>
      <c r="J515" s="485"/>
      <c r="K515" s="485"/>
      <c r="L515" s="485"/>
      <c r="M515" s="485"/>
      <c r="N515" s="485"/>
      <c r="O515" s="485"/>
      <c r="P515" s="485"/>
    </row>
    <row r="516" spans="1:16" ht="12.75" x14ac:dyDescent="0.2">
      <c r="A516" s="485"/>
      <c r="B516" s="485"/>
      <c r="C516" s="485"/>
      <c r="D516" s="485"/>
      <c r="E516" s="485"/>
      <c r="F516" s="485"/>
      <c r="G516" s="485"/>
      <c r="H516" s="485"/>
      <c r="I516" s="485"/>
      <c r="J516" s="485"/>
      <c r="K516" s="485"/>
      <c r="L516" s="485"/>
      <c r="M516" s="485"/>
      <c r="N516" s="485"/>
      <c r="O516" s="485"/>
      <c r="P516" s="485"/>
    </row>
    <row r="517" spans="1:16" ht="12.75" x14ac:dyDescent="0.2">
      <c r="A517" s="485"/>
      <c r="B517" s="485"/>
      <c r="C517" s="485"/>
      <c r="D517" s="485"/>
      <c r="E517" s="485"/>
      <c r="F517" s="485"/>
      <c r="G517" s="485"/>
      <c r="H517" s="485"/>
      <c r="I517" s="485"/>
      <c r="J517" s="485"/>
      <c r="K517" s="485"/>
      <c r="L517" s="485"/>
      <c r="M517" s="485"/>
      <c r="N517" s="485"/>
      <c r="O517" s="485"/>
      <c r="P517" s="485"/>
    </row>
    <row r="518" spans="1:16" ht="12.75" x14ac:dyDescent="0.2">
      <c r="A518" s="485"/>
      <c r="B518" s="485"/>
      <c r="C518" s="485"/>
      <c r="D518" s="485"/>
      <c r="E518" s="485"/>
      <c r="F518" s="485"/>
      <c r="G518" s="485"/>
      <c r="H518" s="485"/>
      <c r="I518" s="485"/>
      <c r="J518" s="485"/>
      <c r="K518" s="485"/>
      <c r="L518" s="485"/>
      <c r="M518" s="485"/>
      <c r="N518" s="485"/>
      <c r="O518" s="485"/>
      <c r="P518" s="485"/>
    </row>
    <row r="519" spans="1:16" ht="12.75" x14ac:dyDescent="0.2">
      <c r="A519" s="485"/>
      <c r="B519" s="485"/>
      <c r="C519" s="485"/>
      <c r="D519" s="485"/>
      <c r="E519" s="485"/>
      <c r="F519" s="485"/>
      <c r="G519" s="485"/>
      <c r="H519" s="485"/>
      <c r="I519" s="485"/>
      <c r="J519" s="485"/>
      <c r="K519" s="485"/>
      <c r="L519" s="485"/>
      <c r="M519" s="485"/>
      <c r="N519" s="485"/>
      <c r="O519" s="485"/>
      <c r="P519" s="485"/>
    </row>
    <row r="520" spans="1:16" ht="12.75" x14ac:dyDescent="0.2">
      <c r="A520" s="485"/>
      <c r="B520" s="485"/>
      <c r="C520" s="485"/>
      <c r="D520" s="485"/>
      <c r="E520" s="485"/>
      <c r="F520" s="485"/>
      <c r="G520" s="485"/>
      <c r="H520" s="485"/>
      <c r="I520" s="485"/>
      <c r="J520" s="485"/>
      <c r="K520" s="485"/>
      <c r="L520" s="485"/>
      <c r="M520" s="485"/>
      <c r="N520" s="485"/>
      <c r="O520" s="485"/>
      <c r="P520" s="485"/>
    </row>
    <row r="521" spans="1:16" ht="12.75" x14ac:dyDescent="0.2">
      <c r="A521" s="485"/>
      <c r="B521" s="485"/>
      <c r="C521" s="485"/>
      <c r="D521" s="485"/>
      <c r="E521" s="485"/>
      <c r="F521" s="485"/>
      <c r="G521" s="485"/>
      <c r="H521" s="485"/>
      <c r="I521" s="485"/>
      <c r="J521" s="485"/>
      <c r="K521" s="485"/>
      <c r="L521" s="485"/>
      <c r="M521" s="485"/>
      <c r="N521" s="485"/>
      <c r="O521" s="485"/>
      <c r="P521" s="485"/>
    </row>
    <row r="522" spans="1:16" ht="12.75" x14ac:dyDescent="0.2">
      <c r="A522" s="485"/>
      <c r="B522" s="485"/>
      <c r="C522" s="485"/>
      <c r="D522" s="485"/>
      <c r="E522" s="485"/>
      <c r="F522" s="485"/>
      <c r="G522" s="485"/>
      <c r="H522" s="485"/>
      <c r="I522" s="485"/>
      <c r="J522" s="485"/>
      <c r="K522" s="485"/>
      <c r="L522" s="485"/>
      <c r="M522" s="485"/>
      <c r="N522" s="485"/>
      <c r="O522" s="485"/>
      <c r="P522" s="485"/>
    </row>
    <row r="523" spans="1:16" ht="12.75" x14ac:dyDescent="0.2">
      <c r="A523" s="485"/>
      <c r="B523" s="485"/>
      <c r="C523" s="485"/>
      <c r="D523" s="485"/>
      <c r="E523" s="485"/>
      <c r="F523" s="485"/>
      <c r="G523" s="485"/>
      <c r="H523" s="485"/>
      <c r="I523" s="485"/>
      <c r="J523" s="485"/>
      <c r="K523" s="485"/>
      <c r="L523" s="485"/>
      <c r="M523" s="485"/>
      <c r="N523" s="485"/>
      <c r="O523" s="485"/>
      <c r="P523" s="485"/>
    </row>
    <row r="524" spans="1:16" ht="12.75" x14ac:dyDescent="0.2">
      <c r="A524" s="485"/>
      <c r="B524" s="485"/>
      <c r="C524" s="485"/>
      <c r="D524" s="485"/>
      <c r="E524" s="485"/>
      <c r="F524" s="485"/>
      <c r="G524" s="485"/>
      <c r="H524" s="485"/>
      <c r="I524" s="485"/>
      <c r="J524" s="485"/>
      <c r="K524" s="485"/>
      <c r="L524" s="485"/>
      <c r="M524" s="485"/>
      <c r="N524" s="485"/>
      <c r="O524" s="485"/>
      <c r="P524" s="485"/>
    </row>
    <row r="525" spans="1:16" ht="12.75" x14ac:dyDescent="0.2">
      <c r="A525" s="485"/>
      <c r="B525" s="485"/>
      <c r="C525" s="485"/>
      <c r="D525" s="485"/>
      <c r="E525" s="485"/>
      <c r="F525" s="485"/>
      <c r="G525" s="485"/>
      <c r="H525" s="485"/>
      <c r="I525" s="485"/>
      <c r="J525" s="485"/>
      <c r="K525" s="485"/>
      <c r="L525" s="485"/>
      <c r="M525" s="485"/>
      <c r="N525" s="485"/>
      <c r="O525" s="485"/>
      <c r="P525" s="485"/>
    </row>
    <row r="526" spans="1:16" ht="12.75" x14ac:dyDescent="0.2">
      <c r="A526" s="485"/>
      <c r="B526" s="485"/>
      <c r="C526" s="485"/>
      <c r="D526" s="485"/>
      <c r="E526" s="485"/>
      <c r="F526" s="485"/>
      <c r="G526" s="485"/>
      <c r="H526" s="485"/>
      <c r="I526" s="485"/>
      <c r="J526" s="485"/>
      <c r="K526" s="485"/>
      <c r="L526" s="485"/>
      <c r="M526" s="485"/>
      <c r="N526" s="485"/>
      <c r="O526" s="485"/>
      <c r="P526" s="485"/>
    </row>
    <row r="527" spans="1:16" ht="12.75" x14ac:dyDescent="0.2">
      <c r="A527" s="485"/>
      <c r="B527" s="485"/>
      <c r="C527" s="485"/>
      <c r="D527" s="485"/>
      <c r="E527" s="485"/>
      <c r="F527" s="485"/>
      <c r="G527" s="485"/>
      <c r="H527" s="485"/>
      <c r="I527" s="485"/>
      <c r="J527" s="485"/>
      <c r="K527" s="485"/>
      <c r="L527" s="485"/>
      <c r="M527" s="485"/>
      <c r="N527" s="485"/>
      <c r="O527" s="485"/>
      <c r="P527" s="485"/>
    </row>
    <row r="528" spans="1:16" ht="12.75" x14ac:dyDescent="0.2">
      <c r="A528" s="485"/>
      <c r="B528" s="485"/>
      <c r="C528" s="485"/>
      <c r="D528" s="485"/>
      <c r="E528" s="485"/>
      <c r="F528" s="485"/>
      <c r="G528" s="485"/>
      <c r="H528" s="485"/>
      <c r="I528" s="485"/>
      <c r="J528" s="485"/>
      <c r="K528" s="485"/>
      <c r="L528" s="485"/>
      <c r="M528" s="485"/>
      <c r="N528" s="485"/>
      <c r="O528" s="485"/>
      <c r="P528" s="485"/>
    </row>
    <row r="529" spans="1:16" ht="12.75" x14ac:dyDescent="0.2">
      <c r="A529" s="485"/>
      <c r="B529" s="485"/>
      <c r="C529" s="485"/>
      <c r="D529" s="485"/>
      <c r="E529" s="485"/>
      <c r="F529" s="485"/>
      <c r="G529" s="485"/>
      <c r="H529" s="485"/>
      <c r="I529" s="485"/>
      <c r="J529" s="485"/>
      <c r="K529" s="485"/>
      <c r="L529" s="485"/>
      <c r="M529" s="485"/>
      <c r="N529" s="485"/>
      <c r="O529" s="485"/>
      <c r="P529" s="485"/>
    </row>
    <row r="530" spans="1:16" ht="12.75" x14ac:dyDescent="0.2">
      <c r="A530" s="485"/>
      <c r="B530" s="485"/>
      <c r="C530" s="485"/>
      <c r="D530" s="485"/>
      <c r="E530" s="485"/>
      <c r="F530" s="485"/>
      <c r="G530" s="485"/>
      <c r="H530" s="485"/>
      <c r="I530" s="485"/>
      <c r="J530" s="485"/>
      <c r="K530" s="485"/>
      <c r="L530" s="485"/>
      <c r="M530" s="485"/>
      <c r="N530" s="485"/>
      <c r="O530" s="485"/>
      <c r="P530" s="485"/>
    </row>
    <row r="531" spans="1:16" ht="12.75" x14ac:dyDescent="0.2">
      <c r="A531" s="485"/>
      <c r="B531" s="485"/>
      <c r="C531" s="485"/>
      <c r="D531" s="485"/>
      <c r="E531" s="485"/>
      <c r="F531" s="485"/>
      <c r="G531" s="485"/>
      <c r="H531" s="485"/>
      <c r="I531" s="485"/>
      <c r="J531" s="485"/>
      <c r="K531" s="485"/>
      <c r="L531" s="485"/>
      <c r="M531" s="485"/>
      <c r="N531" s="485"/>
      <c r="O531" s="485"/>
      <c r="P531" s="485"/>
    </row>
    <row r="532" spans="1:16" ht="12.75" x14ac:dyDescent="0.2">
      <c r="A532" s="485"/>
      <c r="B532" s="485"/>
      <c r="C532" s="485"/>
      <c r="D532" s="485"/>
      <c r="E532" s="485"/>
      <c r="F532" s="485"/>
      <c r="G532" s="485"/>
      <c r="H532" s="485"/>
      <c r="I532" s="485"/>
      <c r="J532" s="485"/>
      <c r="K532" s="485"/>
      <c r="L532" s="485"/>
      <c r="M532" s="485"/>
      <c r="N532" s="485"/>
      <c r="O532" s="485"/>
      <c r="P532" s="485"/>
    </row>
    <row r="533" spans="1:16" ht="12.75" x14ac:dyDescent="0.2">
      <c r="A533" s="485"/>
      <c r="B533" s="485"/>
      <c r="C533" s="485"/>
      <c r="D533" s="485"/>
      <c r="E533" s="485"/>
      <c r="F533" s="485"/>
      <c r="G533" s="485"/>
      <c r="H533" s="485"/>
      <c r="I533" s="485"/>
      <c r="J533" s="485"/>
      <c r="K533" s="485"/>
      <c r="L533" s="485"/>
      <c r="M533" s="485"/>
      <c r="N533" s="485"/>
      <c r="O533" s="485"/>
      <c r="P533" s="485"/>
    </row>
    <row r="534" spans="1:16" ht="12.75" x14ac:dyDescent="0.2">
      <c r="A534" s="485"/>
      <c r="B534" s="485"/>
      <c r="C534" s="485"/>
      <c r="D534" s="485"/>
      <c r="E534" s="485"/>
      <c r="F534" s="485"/>
      <c r="G534" s="485"/>
      <c r="H534" s="485"/>
      <c r="I534" s="485"/>
      <c r="J534" s="485"/>
      <c r="K534" s="485"/>
      <c r="L534" s="485"/>
      <c r="M534" s="485"/>
      <c r="N534" s="485"/>
      <c r="O534" s="485"/>
      <c r="P534" s="485"/>
    </row>
    <row r="535" spans="1:16" ht="12.75" x14ac:dyDescent="0.2">
      <c r="A535" s="485"/>
      <c r="B535" s="485"/>
      <c r="C535" s="485"/>
      <c r="D535" s="485"/>
      <c r="E535" s="485"/>
      <c r="F535" s="485"/>
      <c r="G535" s="485"/>
      <c r="H535" s="485"/>
      <c r="I535" s="485"/>
      <c r="J535" s="485"/>
      <c r="K535" s="485"/>
      <c r="L535" s="485"/>
      <c r="M535" s="485"/>
      <c r="N535" s="485"/>
      <c r="O535" s="485"/>
      <c r="P535" s="485"/>
    </row>
    <row r="536" spans="1:16" ht="12.75" x14ac:dyDescent="0.2">
      <c r="A536" s="485"/>
      <c r="B536" s="485"/>
      <c r="C536" s="485"/>
      <c r="D536" s="485"/>
      <c r="E536" s="485"/>
      <c r="F536" s="485"/>
      <c r="G536" s="485"/>
      <c r="H536" s="485"/>
      <c r="I536" s="485"/>
      <c r="J536" s="485"/>
      <c r="K536" s="485"/>
      <c r="L536" s="485"/>
      <c r="M536" s="485"/>
      <c r="N536" s="485"/>
      <c r="O536" s="485"/>
      <c r="P536" s="485"/>
    </row>
    <row r="537" spans="1:16" ht="12.75" x14ac:dyDescent="0.2">
      <c r="A537" s="485"/>
      <c r="B537" s="485"/>
      <c r="C537" s="485"/>
      <c r="D537" s="485"/>
      <c r="E537" s="485"/>
      <c r="F537" s="485"/>
      <c r="G537" s="485"/>
      <c r="H537" s="485"/>
      <c r="I537" s="485"/>
      <c r="J537" s="485"/>
      <c r="K537" s="485"/>
      <c r="L537" s="485"/>
      <c r="M537" s="485"/>
      <c r="N537" s="485"/>
      <c r="O537" s="485"/>
      <c r="P537" s="485"/>
    </row>
    <row r="538" spans="1:16" ht="12.75" x14ac:dyDescent="0.2">
      <c r="A538" s="485"/>
      <c r="B538" s="485"/>
      <c r="C538" s="485"/>
      <c r="D538" s="485"/>
      <c r="E538" s="485"/>
      <c r="F538" s="485"/>
      <c r="G538" s="485"/>
      <c r="H538" s="485"/>
      <c r="I538" s="485"/>
      <c r="J538" s="485"/>
      <c r="K538" s="485"/>
      <c r="L538" s="485"/>
      <c r="M538" s="485"/>
      <c r="N538" s="485"/>
      <c r="O538" s="485"/>
      <c r="P538" s="485"/>
    </row>
    <row r="539" spans="1:16" ht="12.75" x14ac:dyDescent="0.2">
      <c r="A539" s="485"/>
      <c r="B539" s="485"/>
      <c r="C539" s="485"/>
      <c r="D539" s="485"/>
      <c r="E539" s="485"/>
      <c r="F539" s="485"/>
      <c r="G539" s="485"/>
      <c r="H539" s="485"/>
      <c r="I539" s="485"/>
      <c r="J539" s="485"/>
      <c r="K539" s="485"/>
      <c r="L539" s="485"/>
      <c r="M539" s="485"/>
      <c r="N539" s="485"/>
      <c r="O539" s="485"/>
      <c r="P539" s="485"/>
    </row>
    <row r="540" spans="1:16" ht="12.75" x14ac:dyDescent="0.2">
      <c r="A540" s="485"/>
      <c r="B540" s="485"/>
      <c r="C540" s="485"/>
      <c r="D540" s="485"/>
      <c r="E540" s="485"/>
      <c r="F540" s="485"/>
      <c r="G540" s="485"/>
      <c r="H540" s="485"/>
      <c r="I540" s="485"/>
      <c r="J540" s="485"/>
      <c r="K540" s="485"/>
      <c r="L540" s="485"/>
      <c r="M540" s="485"/>
      <c r="N540" s="485"/>
      <c r="O540" s="485"/>
      <c r="P540" s="485"/>
    </row>
    <row r="541" spans="1:16" ht="12.75" x14ac:dyDescent="0.2">
      <c r="A541" s="485"/>
      <c r="B541" s="485"/>
      <c r="C541" s="485"/>
      <c r="D541" s="485"/>
      <c r="E541" s="485"/>
      <c r="F541" s="485"/>
      <c r="G541" s="485"/>
      <c r="H541" s="485"/>
      <c r="I541" s="485"/>
      <c r="J541" s="485"/>
      <c r="K541" s="485"/>
      <c r="L541" s="485"/>
      <c r="M541" s="485"/>
      <c r="N541" s="485"/>
      <c r="O541" s="485"/>
      <c r="P541" s="485"/>
    </row>
    <row r="542" spans="1:16" ht="12.75" x14ac:dyDescent="0.2">
      <c r="A542" s="485"/>
      <c r="B542" s="485"/>
      <c r="C542" s="485"/>
      <c r="D542" s="485"/>
      <c r="E542" s="485"/>
      <c r="F542" s="485"/>
      <c r="G542" s="485"/>
      <c r="H542" s="485"/>
      <c r="I542" s="485"/>
      <c r="J542" s="485"/>
      <c r="K542" s="485"/>
      <c r="L542" s="485"/>
      <c r="M542" s="485"/>
      <c r="N542" s="485"/>
      <c r="O542" s="485"/>
      <c r="P542" s="485"/>
    </row>
    <row r="543" spans="1:16" ht="12.75" x14ac:dyDescent="0.2">
      <c r="A543" s="485"/>
      <c r="B543" s="485"/>
      <c r="C543" s="485"/>
      <c r="D543" s="485"/>
      <c r="E543" s="485"/>
      <c r="F543" s="485"/>
      <c r="G543" s="485"/>
      <c r="H543" s="485"/>
      <c r="I543" s="485"/>
      <c r="J543" s="485"/>
      <c r="K543" s="485"/>
      <c r="L543" s="485"/>
      <c r="M543" s="485"/>
      <c r="N543" s="485"/>
      <c r="O543" s="485"/>
      <c r="P543" s="485"/>
    </row>
    <row r="544" spans="1:16" ht="12.75" x14ac:dyDescent="0.2">
      <c r="A544" s="485"/>
      <c r="B544" s="485"/>
      <c r="C544" s="485"/>
      <c r="D544" s="485"/>
      <c r="E544" s="485"/>
      <c r="F544" s="485"/>
      <c r="G544" s="485"/>
      <c r="H544" s="485"/>
      <c r="I544" s="485"/>
      <c r="J544" s="485"/>
      <c r="K544" s="485"/>
      <c r="L544" s="485"/>
      <c r="M544" s="485"/>
      <c r="N544" s="485"/>
      <c r="O544" s="485"/>
      <c r="P544" s="485"/>
    </row>
    <row r="545" spans="1:16" ht="12.75" x14ac:dyDescent="0.2">
      <c r="A545" s="485"/>
      <c r="B545" s="485"/>
      <c r="C545" s="485"/>
      <c r="D545" s="485"/>
      <c r="E545" s="485"/>
      <c r="F545" s="485"/>
      <c r="G545" s="485"/>
      <c r="H545" s="485"/>
      <c r="I545" s="485"/>
      <c r="J545" s="485"/>
      <c r="K545" s="485"/>
      <c r="L545" s="485"/>
      <c r="M545" s="485"/>
      <c r="N545" s="485"/>
      <c r="O545" s="485"/>
      <c r="P545" s="485"/>
    </row>
  </sheetData>
  <mergeCells count="12">
    <mergeCell ref="L5:M5"/>
    <mergeCell ref="N5:P5"/>
    <mergeCell ref="A1:P1"/>
    <mergeCell ref="A2:P2"/>
    <mergeCell ref="A3:P3"/>
    <mergeCell ref="A5:G6"/>
    <mergeCell ref="I5:K5"/>
    <mergeCell ref="A7:G7"/>
    <mergeCell ref="A17:G17"/>
    <mergeCell ref="A30:G30"/>
    <mergeCell ref="A56:G56"/>
    <mergeCell ref="B57:G5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8602-7BCE-418F-AD3A-5E44692FDA3A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2" width="23" bestFit="1" customWidth="1"/>
    <col min="13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160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14127360</v>
      </c>
      <c r="M18" s="709">
        <f ca="1">M19+M20</f>
        <v>1558180</v>
      </c>
      <c r="N18" s="709">
        <f ca="1">N19+N20</f>
        <v>650354.08000000007</v>
      </c>
      <c r="O18" s="709">
        <f ca="1">IF(L18&gt;0,N18*100/L18,0)</f>
        <v>4.6035075201594644</v>
      </c>
      <c r="P18" s="709">
        <f ca="1">IF(M18&gt;0,N18*100/M18,0)</f>
        <v>41.738058504152285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14127360</v>
      </c>
      <c r="M20" s="822">
        <f ca="1">M23+M26</f>
        <v>1558180</v>
      </c>
      <c r="N20" s="822">
        <f ca="1">N23+N26</f>
        <v>650354.08000000007</v>
      </c>
      <c r="O20" s="822">
        <f ca="1">IF(L20&gt;0,N20*100/L20,0)</f>
        <v>4.6035075201594644</v>
      </c>
      <c r="P20" s="822">
        <f ca="1">IF(M20&gt;0,N20*100/M20,0)</f>
        <v>41.738058504152285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1681960</v>
      </c>
      <c r="M21" s="425">
        <f ca="1">M22+M23</f>
        <v>1558180</v>
      </c>
      <c r="N21" s="425">
        <f ca="1">N22+N23</f>
        <v>650354.08000000007</v>
      </c>
      <c r="O21" s="425">
        <f ca="1">IF(L21&gt;0,N21*100/L21,0)</f>
        <v>38.666441532497807</v>
      </c>
      <c r="P21" s="425">
        <f ca="1">IF(M21&gt;0,N21*100/M21,0)</f>
        <v>41.738058504152285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1681960</v>
      </c>
      <c r="M23" s="425">
        <f ca="1">M49+M64+M77+M99+M130+M144+M162+M191+M178+M271+M287+M308+M325+M338+M361+M382</f>
        <v>1558180</v>
      </c>
      <c r="N23" s="425">
        <f ca="1">N49+N64+N77+N99+N130+N144+N162+N191+N178+N271+N287+N308+N325+N338+N361+N382</f>
        <v>650354.08000000007</v>
      </c>
      <c r="O23" s="425">
        <f ca="1">IF(L23&gt;0,N23*100/L23,0)</f>
        <v>38.666441532497807</v>
      </c>
      <c r="P23" s="425">
        <f ca="1">IF(M23&gt;0,N23*100/M23,0)</f>
        <v>41.738058504152285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12445400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12445400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1681960</v>
      </c>
      <c r="M40" s="814">
        <f ca="1">M44+M59+M72+M94+M125+M139+M157+M173+M186+M266+M282+M303+M320+M333+M356</f>
        <v>1558180</v>
      </c>
      <c r="N40" s="814">
        <f ca="1">N44+N59+N72+N94+N125+N139+N157+N173+N186+N266+N282+N303+N320+N333+N356</f>
        <v>650354.08000000007</v>
      </c>
      <c r="O40" s="814">
        <f ca="1">IF(L40&gt;0,N40*100/L40,0)</f>
        <v>38.666441532497807</v>
      </c>
      <c r="P40" s="814">
        <f ca="1">IF(M40&gt;0,N40*100/M40,0)</f>
        <v>41.738058504152285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360820</v>
      </c>
      <c r="M44" s="799">
        <f ca="1">M45+M46</f>
        <v>393640</v>
      </c>
      <c r="N44" s="799">
        <f ca="1">N45+N46</f>
        <v>141820</v>
      </c>
      <c r="O44" s="799">
        <f ca="1">IF(L44&gt;0,N44*100/L44,0)</f>
        <v>39.304916578903608</v>
      </c>
      <c r="P44" s="799">
        <f ca="1">IF(M44&gt;0,N44*100/M44,0)</f>
        <v>36.027842698912714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360820</v>
      </c>
      <c r="M46" s="788">
        <f ca="1">M49+M52</f>
        <v>393640</v>
      </c>
      <c r="N46" s="788">
        <f ca="1">N49+N52</f>
        <v>141820</v>
      </c>
      <c r="O46" s="788">
        <f ca="1">IF(L46&gt;0,N46*100/L46,0)</f>
        <v>39.304916578903608</v>
      </c>
      <c r="P46" s="788">
        <f ca="1">IF(M46&gt;0,N46*100/M46,0)</f>
        <v>36.027842698912714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360820</v>
      </c>
      <c r="M47" s="425">
        <f ca="1">M48+M49</f>
        <v>393640</v>
      </c>
      <c r="N47" s="425">
        <f ca="1">N48+N49</f>
        <v>141820</v>
      </c>
      <c r="O47" s="425">
        <f ca="1">IF(L47&gt;0,N47*100/L47,0)</f>
        <v>39.304916578903608</v>
      </c>
      <c r="P47" s="425">
        <f ca="1">IF(M47&gt;0,N47*100/M47,0)</f>
        <v>36.027842698912714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IFERROR(__xludf.DUMMYFUNCTION("IMPORTRANGE(""https://docs.google.com/spreadsheets/d/1-uDff_7J0KD5mKrp0Vvzr7lt3OU09vwQwhkpOPPYv2Y/edit?usp=sharing"",""งบพรบ!P75"")"),360820)</f>
        <v>360820</v>
      </c>
      <c r="M49" s="425">
        <f ca="1">IFERROR(__xludf.DUMMYFUNCTION("IMPORTRANGE(""https://docs.google.com/spreadsheets/d/1-uDff_7J0KD5mKrp0Vvzr7lt3OU09vwQwhkpOPPYv2Y/edit?usp=sharing"",""งบพรบ!V75"")"),393640)</f>
        <v>393640</v>
      </c>
      <c r="N49" s="425">
        <f ca="1">IFERROR(__xludf.DUMMYFUNCTION("IMPORTRANGE(""https://docs.google.com/spreadsheets/d/1-uDff_7J0KD5mKrp0Vvzr7lt3OU09vwQwhkpOPPYv2Y/edit?usp=sharing"",""งบพรบ!Y75"")"),141820)</f>
        <v>141820</v>
      </c>
      <c r="O49" s="425">
        <f ca="1">IF(L49&gt;0,N49*100/L49,0)</f>
        <v>39.304916578903608</v>
      </c>
      <c r="P49" s="425">
        <f ca="1">IF(M49&gt;0,N49*100/M49,0)</f>
        <v>36.027842698912714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IFERROR(__xludf.DUMMYFUNCTION("IMPORTRANGE(""https://docs.google.com/spreadsheets/d/1-uDff_7J0KD5mKrp0Vvzr7lt3OU09vwQwhkpOPPYv2Y/edit?usp=sharing"",""งบพรบ!S75"")"),0)</f>
        <v>0</v>
      </c>
      <c r="M52" s="425">
        <f ca="1">IFERROR(__xludf.DUMMYFUNCTION("IMPORTRANGE(""https://docs.google.com/spreadsheets/d/1-uDff_7J0KD5mKrp0Vvzr7lt3OU09vwQwhkpOPPYv2Y/edit?usp=sharing"",""งบพรบ!W75"")"),0)</f>
        <v>0</v>
      </c>
      <c r="N52" s="425">
        <f ca="1">IFERROR(__xludf.DUMMYFUNCTION("IMPORTRANGE(""https://docs.google.com/spreadsheets/d/1-uDff_7J0KD5mKrp0Vvzr7lt3OU09vwQwhkpOPPYv2Y/edit?usp=sharing"",""งบพรบ!Z75"")"),0)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444800</v>
      </c>
      <c r="M59" s="768">
        <f ca="1">M60+M61</f>
        <v>335650</v>
      </c>
      <c r="N59" s="768">
        <f ca="1">N60+N61</f>
        <v>212473.41</v>
      </c>
      <c r="O59" s="768">
        <f ca="1">IF(L59&gt;0,N59*100/L59,0)</f>
        <v>47.768302607913668</v>
      </c>
      <c r="P59" s="768">
        <f ca="1">IF(M59&gt;0,N59*100/M59,0)</f>
        <v>63.302073588559509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444800</v>
      </c>
      <c r="M61" s="757">
        <f ca="1">M64+M67</f>
        <v>335650</v>
      </c>
      <c r="N61" s="757">
        <f ca="1">N64+N67</f>
        <v>212473.41</v>
      </c>
      <c r="O61" s="757">
        <f ca="1">IF(L61&gt;0,N61*100/L61,0)</f>
        <v>47.768302607913668</v>
      </c>
      <c r="P61" s="757">
        <f ca="1">IF(M61&gt;0,N61*100/M61,0)</f>
        <v>63.302073588559509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444800</v>
      </c>
      <c r="M62" s="425">
        <f ca="1">M63+M64</f>
        <v>335650</v>
      </c>
      <c r="N62" s="425">
        <f ca="1">N63+N64</f>
        <v>212473.41</v>
      </c>
      <c r="O62" s="425">
        <f ca="1">IF(L62&gt;0,N62*100/L62,0)</f>
        <v>47.768302607913668</v>
      </c>
      <c r="P62" s="425">
        <f ca="1">IF(M62&gt;0,N62*100/M62,0)</f>
        <v>63.302073588559509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IFERROR(__xludf.DUMMYFUNCTION("IMPORTRANGE(""https://docs.google.com/spreadsheets/d/1-uDff_7J0KD5mKrp0Vvzr7lt3OU09vwQwhkpOPPYv2Y/edit?usp=sharing"",""งบพรบ!AC75"")"),444800)</f>
        <v>444800</v>
      </c>
      <c r="M64" s="425">
        <f ca="1">IFERROR(__xludf.DUMMYFUNCTION("IMPORTRANGE(""https://docs.google.com/spreadsheets/d/1-uDff_7J0KD5mKrp0Vvzr7lt3OU09vwQwhkpOPPYv2Y/edit?usp=sharing"",""งบพรบ!AH75"")"),335650)</f>
        <v>335650</v>
      </c>
      <c r="N64" s="425">
        <f ca="1">IFERROR(__xludf.DUMMYFUNCTION("IMPORTRANGE(""https://docs.google.com/spreadsheets/d/1-uDff_7J0KD5mKrp0Vvzr7lt3OU09vwQwhkpOPPYv2Y/edit?usp=sharing"",""งบพรบ!AJ75"")"),212473.41)</f>
        <v>212473.41</v>
      </c>
      <c r="O64" s="425">
        <f ca="1">IF(L64&gt;0,N64*100/L64,0)</f>
        <v>47.768302607913668</v>
      </c>
      <c r="P64" s="425">
        <f ca="1">IF(M64&gt;0,N64*100/M64,0)</f>
        <v>63.302073588559509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IFERROR(__xludf.DUMMYFUNCTION("IMPORTRANGE(""https://docs.google.com/spreadsheets/d/1-uDff_7J0KD5mKrp0Vvzr7lt3OU09vwQwhkpOPPYv2Y/edit?usp=sharing"",""งบพรบ!AF75"")"),0)</f>
        <v>0</v>
      </c>
      <c r="M67" s="752">
        <f ca="1">IFERROR(__xludf.DUMMYFUNCTION("IMPORTRANGE(""https://docs.google.com/spreadsheets/d/1-uDff_7J0KD5mKrp0Vvzr7lt3OU09vwQwhkpOPPYv2Y/edit?usp=sharing"",""งบพรบ!AI75"")"),0)</f>
        <v>0</v>
      </c>
      <c r="N67" s="752">
        <f ca="1">IFERROR(__xludf.DUMMYFUNCTION("IMPORTRANGE(""https://docs.google.com/spreadsheets/d/1-uDff_7J0KD5mKrp0Vvzr7lt3OU09vwQwhkpOPPYv2Y/edit?usp=sharing"",""งบพรบ!AK75"")"),0)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hidden="1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IFERROR(__xludf.DUMMYFUNCTION("IMPORTRANGE(""https://docs.google.com/spreadsheets/d/1-uDff_7J0KD5mKrp0Vvzr7lt3OU09vwQwhkpOPPYv2Y/edit?usp=sharing"",""งบพรบ!AM75"")"),0)</f>
        <v>0</v>
      </c>
      <c r="M77" s="425">
        <f ca="1">IFERROR(__xludf.DUMMYFUNCTION("IMPORTRANGE(""https://docs.google.com/spreadsheets/d/1-uDff_7J0KD5mKrp0Vvzr7lt3OU09vwQwhkpOPPYv2Y/edit?usp=sharing"",""งบพรบ!AR75"")"),0)</f>
        <v>0</v>
      </c>
      <c r="N77" s="425">
        <f ca="1">IFERROR(__xludf.DUMMYFUNCTION("IMPORTRANGE(""https://docs.google.com/spreadsheets/d/1-uDff_7J0KD5mKrp0Vvzr7lt3OU09vwQwhkpOPPYv2Y/edit?usp=sharing"",""งบพรบ!AT75"")"),0)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IFERROR(__xludf.DUMMYFUNCTION("IMPORTRANGE(""https://docs.google.com/spreadsheets/d/1-uDff_7J0KD5mKrp0Vvzr7lt3OU09vwQwhkpOPPYv2Y/edit?usp=sharing"",""งบพรบ!AP75"")"),0)</f>
        <v>0</v>
      </c>
      <c r="M80" s="425">
        <f ca="1">IFERROR(__xludf.DUMMYFUNCTION("IMPORTRANGE(""https://docs.google.com/spreadsheets/d/1-uDff_7J0KD5mKrp0Vvzr7lt3OU09vwQwhkpOPPYv2Y/edit?usp=sharing"",""งบพรบ!AS75"")"),0)</f>
        <v>0</v>
      </c>
      <c r="N80" s="425">
        <f ca="1">IFERROR(__xludf.DUMMYFUNCTION("IMPORTRANGE(""https://docs.google.com/spreadsheets/d/1-uDff_7J0KD5mKrp0Vvzr7lt3OU09vwQwhkpOPPYv2Y/edit?usp=sharing"",""งบพรบ!AU75"")"),0)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IFERROR(__xludf.DUMMYFUNCTION("IMPORTRANGE(""https://docs.google.com/spreadsheets/d/1eHaY18a8A9IcSdp1K8H6x8fbOy06t2VsZHhMHf-1x7Y/edit?usp=sharing"",""แผน!H75"")"),0)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IFERROR(__xludf.DUMMYFUNCTION("IMPORTRANGE(""https://docs.google.com/spreadsheets/d/1eHaY18a8A9IcSdp1K8H6x8fbOy06t2VsZHhMHf-1x7Y/edit?usp=sharing"",""แผน!I75"")"),0)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IFERROR(__xludf.DUMMYFUNCTION("IMPORTRANGE(""https://docs.google.com/spreadsheets/d/1eHaY18a8A9IcSdp1K8H6x8fbOy06t2VsZHhMHf-1x7Y/edit?usp=sharing"",""แผน!F75"")"),0)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IFERROR(__xludf.DUMMYFUNCTION("IMPORTRANGE(""https://docs.google.com/spreadsheets/d/1eHaY18a8A9IcSdp1K8H6x8fbOy06t2VsZHhMHf-1x7Y/edit?usp=sharing"",""แผน!G75"")"),0)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IFERROR(__xludf.DUMMYFUNCTION("IMPORTRANGE(""https://docs.google.com/spreadsheets/d/1eHaY18a8A9IcSdp1K8H6x8fbOy06t2VsZHhMHf-1x7Y/edit?usp=sharing"",""แผน!D75"")"),0)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IFERROR(__xludf.DUMMYFUNCTION("IMPORTRANGE(""https://docs.google.com/spreadsheets/d/1eHaY18a8A9IcSdp1K8H6x8fbOy06t2VsZHhMHf-1x7Y/edit?usp=sharing"",""แผน!E75"")"),0)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IFERROR(__xludf.DUMMYFUNCTION("IMPORTRANGE(""https://docs.google.com/spreadsheets/d/1eHaY18a8A9IcSdp1K8H6x8fbOy06t2VsZHhMHf-1x7Y/edit?usp=sharing"",""แผน!J75"")"),0)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IFERROR(__xludf.DUMMYFUNCTION("IMPORTRANGE(""https://docs.google.com/spreadsheets/d/1-uDff_7J0KD5mKrp0Vvzr7lt3OU09vwQwhkpOPPYv2Y/edit?usp=sharing"",""งบพรบ!AW75"")"),0)</f>
        <v>0</v>
      </c>
      <c r="M99" s="425">
        <f ca="1">IFERROR(__xludf.DUMMYFUNCTION("IMPORTRANGE(""https://docs.google.com/spreadsheets/d/1-uDff_7J0KD5mKrp0Vvzr7lt3OU09vwQwhkpOPPYv2Y/edit?usp=sharing"",""งบพรบ!BB75"")"),0)</f>
        <v>0</v>
      </c>
      <c r="N99" s="425">
        <f ca="1">IFERROR(__xludf.DUMMYFUNCTION("IMPORTRANGE(""https://docs.google.com/spreadsheets/d/1-uDff_7J0KD5mKrp0Vvzr7lt3OU09vwQwhkpOPPYv2Y/edit?usp=sharing"",""งบพรบ!BD75"")"),0)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IFERROR(__xludf.DUMMYFUNCTION("IMPORTRANGE(""https://docs.google.com/spreadsheets/d/1-uDff_7J0KD5mKrp0Vvzr7lt3OU09vwQwhkpOPPYv2Y/edit?usp=sharing"",""งบพรบ!AZ75"")"),0)</f>
        <v>0</v>
      </c>
      <c r="M102" s="425">
        <f ca="1">IFERROR(__xludf.DUMMYFUNCTION("IMPORTRANGE(""https://docs.google.com/spreadsheets/d/1-uDff_7J0KD5mKrp0Vvzr7lt3OU09vwQwhkpOPPYv2Y/edit?usp=sharing"",""งบพรบ!BC75"")"),0)</f>
        <v>0</v>
      </c>
      <c r="N102" s="425">
        <f ca="1">IFERROR(__xludf.DUMMYFUNCTION("IMPORTRANGE(""https://docs.google.com/spreadsheets/d/1-uDff_7J0KD5mKrp0Vvzr7lt3OU09vwQwhkpOPPYv2Y/edit?usp=sharing"",""งบพรบ!BE75"")"),0)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IFERROR(__xludf.DUMMYFUNCTION("IMPORTRANGE(""https://docs.google.com/spreadsheets/d/1eHaY18a8A9IcSdp1K8H6x8fbOy06t2VsZHhMHf-1x7Y/edit?usp=sharing"",""แผน!N75"")"),0)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IFERROR(__xludf.DUMMYFUNCTION("IMPORTRANGE(""https://docs.google.com/spreadsheets/d/1eHaY18a8A9IcSdp1K8H6x8fbOy06t2VsZHhMHf-1x7Y/edit?usp=sharing"",""แผน!O75"")"),0)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IFERROR(__xludf.DUMMYFUNCTION("IMPORTRANGE(""https://docs.google.com/spreadsheets/d/1eHaY18a8A9IcSdp1K8H6x8fbOy06t2VsZHhMHf-1x7Y/edit?usp=sharing"",""แผน!R75"")"),0)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IFERROR(__xludf.DUMMYFUNCTION("IMPORTRANGE(""https://docs.google.com/spreadsheets/d/1-uDff_7J0KD5mKrp0Vvzr7lt3OU09vwQwhkpOPPYv2Y/edit?usp=sharing"",""งบพรบ!BG75"")"),0)</f>
        <v>0</v>
      </c>
      <c r="M130" s="728">
        <f ca="1">IFERROR(__xludf.DUMMYFUNCTION("IMPORTRANGE(""https://docs.google.com/spreadsheets/d/1-uDff_7J0KD5mKrp0Vvzr7lt3OU09vwQwhkpOPPYv2Y/edit?usp=sharing"",""งบพรบ!BL75"")"),0)</f>
        <v>0</v>
      </c>
      <c r="N130" s="728">
        <f ca="1">IFERROR(__xludf.DUMMYFUNCTION("IMPORTRANGE(""https://docs.google.com/spreadsheets/d/1-uDff_7J0KD5mKrp0Vvzr7lt3OU09vwQwhkpOPPYv2Y/edit?usp=sharing"",""งบพรบ!BN75"")"),0)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IFERROR(__xludf.DUMMYFUNCTION("IMPORTRANGE(""https://docs.google.com/spreadsheets/d/1-uDff_7J0KD5mKrp0Vvzr7lt3OU09vwQwhkpOPPYv2Y/edit?usp=sharing"",""งบพรบ!BJ75"")"),0)</f>
        <v>0</v>
      </c>
      <c r="M133" s="728">
        <f ca="1">IFERROR(__xludf.DUMMYFUNCTION("IMPORTRANGE(""https://docs.google.com/spreadsheets/d/1-uDff_7J0KD5mKrp0Vvzr7lt3OU09vwQwhkpOPPYv2Y/edit?usp=sharing"",""งบพรบ!BM75"")"),0)</f>
        <v>0</v>
      </c>
      <c r="N133" s="728">
        <f ca="1">IFERROR(__xludf.DUMMYFUNCTION("IMPORTRANGE(""https://docs.google.com/spreadsheets/d/1-uDff_7J0KD5mKrp0Vvzr7lt3OU09vwQwhkpOPPYv2Y/edit?usp=sharing"",""งบพรบ!BO75"")"),0)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hidden="1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hidden="1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hidden="1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hidden="1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hidden="1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0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hidden="1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0</v>
      </c>
      <c r="M139" s="550">
        <f ca="1">M140+M141</f>
        <v>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hidden="1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hidden="1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IFERROR(__xludf.DUMMYFUNCTION("IMPORTRANGE(""https://docs.google.com/spreadsheets/d/1-uDff_7J0KD5mKrp0Vvzr7lt3OU09vwQwhkpOPPYv2Y/edit?usp=sharing"",""งบพรบ!BQ75"")"),0)</f>
        <v>0</v>
      </c>
      <c r="M144" s="425">
        <f ca="1">IFERROR(__xludf.DUMMYFUNCTION("IMPORTRANGE(""https://docs.google.com/spreadsheets/d/1-uDff_7J0KD5mKrp0Vvzr7lt3OU09vwQwhkpOPPYv2Y/edit?usp=sharing"",""งบพรบ!BV75"")"),0)</f>
        <v>0</v>
      </c>
      <c r="N144" s="425">
        <f ca="1">IFERROR(__xludf.DUMMYFUNCTION("IMPORTRANGE(""https://docs.google.com/spreadsheets/d/1-uDff_7J0KD5mKrp0Vvzr7lt3OU09vwQwhkpOPPYv2Y/edit?usp=sharing"",""งบพรบ!BX75"")"),0)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hidden="1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IFERROR(__xludf.DUMMYFUNCTION("IMPORTRANGE(""https://docs.google.com/spreadsheets/d/1-uDff_7J0KD5mKrp0Vvzr7lt3OU09vwQwhkpOPPYv2Y/edit?usp=sharing"",""งบพรบ!BT75"")"),0)</f>
        <v>0</v>
      </c>
      <c r="M147" s="425">
        <f ca="1">IFERROR(__xludf.DUMMYFUNCTION("IMPORTRANGE(""https://docs.google.com/spreadsheets/d/1-uDff_7J0KD5mKrp0Vvzr7lt3OU09vwQwhkpOPPYv2Y/edit?usp=sharing"",""งบพรบ!BW75"")"),0)</f>
        <v>0</v>
      </c>
      <c r="N147" s="425">
        <f ca="1">IFERROR(__xludf.DUMMYFUNCTION("IMPORTRANGE(""https://docs.google.com/spreadsheets/d/1-uDff_7J0KD5mKrp0Vvzr7lt3OU09vwQwhkpOPPYv2Y/edit?usp=sharing"",""งบพรบ!BY75"")"),0)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IFERROR(__xludf.DUMMYFUNCTION("IMPORTRANGE(""https://docs.google.com/spreadsheets/d/1eHaY18a8A9IcSdp1K8H6x8fbOy06t2VsZHhMHf-1x7Y/edit?usp=sharing"",""แผน!U75"")"),0)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IFERROR(__xludf.DUMMYFUNCTION("IMPORTRANGE(""https://docs.google.com/spreadsheets/d/1eHaY18a8A9IcSdp1K8H6x8fbOy06t2VsZHhMHf-1x7Y/edit?usp=sharing"",""แผน!V75"")"),0)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IFERROR(__xludf.DUMMYFUNCTION("IMPORTRANGE(""https://docs.google.com/spreadsheets/d/1eHaY18a8A9IcSdp1K8H6x8fbOy06t2VsZHhMHf-1x7Y/edit?usp=sharing"",""แผน!W75"")"),0)</f>
        <v>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IFERROR(__xludf.DUMMYFUNCTION("IMPORTRANGE(""https://docs.google.com/spreadsheets/d/1eHaY18a8A9IcSdp1K8H6x8fbOy06t2VsZHhMHf-1x7Y/edit?usp=sharing"",""แผน!X75"")"),0)</f>
        <v>0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IFERROR(__xludf.DUMMYFUNCTION("IMPORTRANGE(""https://docs.google.com/spreadsheets/d/1eHaY18a8A9IcSdp1K8H6x8fbOy06t2VsZHhMHf-1x7Y/edit?usp=sharing"",""แผน!Y75"")"),0)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IFERROR(__xludf.DUMMYFUNCTION("IMPORTRANGE(""https://docs.google.com/spreadsheets/d/1-uDff_7J0KD5mKrp0Vvzr7lt3OU09vwQwhkpOPPYv2Y/edit?usp=sharing"",""งบพรบ!CA75"")"),0)</f>
        <v>0</v>
      </c>
      <c r="M162" s="425">
        <f ca="1">IFERROR(__xludf.DUMMYFUNCTION("IMPORTRANGE(""https://docs.google.com/spreadsheets/d/1-uDff_7J0KD5mKrp0Vvzr7lt3OU09vwQwhkpOPPYv2Y/edit?usp=sharing"",""งบพรบ!CF75"")"),0)</f>
        <v>0</v>
      </c>
      <c r="N162" s="425">
        <f ca="1">IFERROR(__xludf.DUMMYFUNCTION("IMPORTRANGE(""https://docs.google.com/spreadsheets/d/1-uDff_7J0KD5mKrp0Vvzr7lt3OU09vwQwhkpOPPYv2Y/edit?usp=sharing"",""งบพรบ!CH75"")"),0)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IFERROR(__xludf.DUMMYFUNCTION("IMPORTRANGE(""https://docs.google.com/spreadsheets/d/1-uDff_7J0KD5mKrp0Vvzr7lt3OU09vwQwhkpOPPYv2Y/edit?usp=sharing"",""งบพรบ!CD75"")"),0)</f>
        <v>0</v>
      </c>
      <c r="M165" s="425">
        <f ca="1">IFERROR(__xludf.DUMMYFUNCTION("IMPORTRANGE(""https://docs.google.com/spreadsheets/d/1-uDff_7J0KD5mKrp0Vvzr7lt3OU09vwQwhkpOPPYv2Y/edit?usp=sharing"",""งบพรบ!CG75"")"),0)</f>
        <v>0</v>
      </c>
      <c r="N165" s="425">
        <f ca="1">IFERROR(__xludf.DUMMYFUNCTION("IMPORTRANGE(""https://docs.google.com/spreadsheets/d/1-uDff_7J0KD5mKrp0Vvzr7lt3OU09vwQwhkpOPPYv2Y/edit?usp=sharing"",""งบพรบ!CI75"")"),0)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IFERROR(__xludf.DUMMYFUNCTION("IMPORTRANGE(""https://docs.google.com/spreadsheets/d/1eHaY18a8A9IcSdp1K8H6x8fbOy06t2VsZHhMHf-1x7Y/edit?usp=sharing"",""แผน!Z75"")"),0)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IFERROR(__xludf.DUMMYFUNCTION("IMPORTRANGE(""https://docs.google.com/spreadsheets/d/1eHaY18a8A9IcSdp1K8H6x8fbOy06t2VsZHhMHf-1x7Y/edit?usp=sharing"",""แผน!Z75"")"),0)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IFERROR(__xludf.DUMMYFUNCTION("IMPORTRANGE(""https://docs.google.com/spreadsheets/d/1eHaY18a8A9IcSdp1K8H6x8fbOy06t2VsZHhMHf-1x7Y/edit?usp=sharing"",""แผน!Z75"")"),0)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17629</v>
      </c>
      <c r="O173" s="550">
        <f ca="1">IF(L173&gt;0,N173*100/L173,0)</f>
        <v>89.989790709545687</v>
      </c>
      <c r="P173" s="550">
        <f ca="1">IF(M173&gt;0,N173*100/M173,0)</f>
        <v>89.989790709545687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17629</v>
      </c>
      <c r="O175" s="425">
        <f ca="1">IF(L175&gt;0,N175*100/L175,0)</f>
        <v>89.989790709545687</v>
      </c>
      <c r="P175" s="425">
        <f ca="1">IF(M175&gt;0,N175*100/M175,0)</f>
        <v>89.989790709545687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17629</v>
      </c>
      <c r="O176" s="425">
        <f ca="1">IF(L176&gt;0,N176*100/L176,0)</f>
        <v>89.989790709545687</v>
      </c>
      <c r="P176" s="425">
        <f ca="1">IF(M176&gt;0,N176*100/M176,0)</f>
        <v>89.989790709545687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IFERROR(__xludf.DUMMYFUNCTION("IMPORTRANGE(""https://docs.google.com/spreadsheets/d/1-uDff_7J0KD5mKrp0Vvzr7lt3OU09vwQwhkpOPPYv2Y/edit?usp=sharing"",""งบพรบ!CK75"")"),19590)</f>
        <v>19590</v>
      </c>
      <c r="M178" s="425">
        <f ca="1">IFERROR(__xludf.DUMMYFUNCTION("IMPORTRANGE(""https://docs.google.com/spreadsheets/d/1-uDff_7J0KD5mKrp0Vvzr7lt3OU09vwQwhkpOPPYv2Y/edit?usp=sharing"",""งบพรบ!CP75"")"),19590)</f>
        <v>19590</v>
      </c>
      <c r="N178" s="425">
        <f ca="1">IFERROR(__xludf.DUMMYFUNCTION("IMPORTRANGE(""https://docs.google.com/spreadsheets/d/1-uDff_7J0KD5mKrp0Vvzr7lt3OU09vwQwhkpOPPYv2Y/edit?usp=sharing"",""งบพรบ!CR75"")"),17629)</f>
        <v>17629</v>
      </c>
      <c r="O178" s="425">
        <f ca="1">IF(L178&gt;0,N178*100/L178,0)</f>
        <v>89.989790709545687</v>
      </c>
      <c r="P178" s="425">
        <f ca="1">IF(M178&gt;0,N178*100/M178,0)</f>
        <v>89.989790709545687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IFERROR(__xludf.DUMMYFUNCTION("IMPORTRANGE(""https://docs.google.com/spreadsheets/d/1-uDff_7J0KD5mKrp0Vvzr7lt3OU09vwQwhkpOPPYv2Y/edit?usp=sharing"",""งบพรบ!CN75"")"),0)</f>
        <v>0</v>
      </c>
      <c r="M181" s="425">
        <f ca="1">IFERROR(__xludf.DUMMYFUNCTION("IMPORTRANGE(""https://docs.google.com/spreadsheets/d/1-uDff_7J0KD5mKrp0Vvzr7lt3OU09vwQwhkpOPPYv2Y/edit?usp=sharing"",""งบพรบ!CQ75"")"),0)</f>
        <v>0</v>
      </c>
      <c r="N181" s="425">
        <f ca="1">IFERROR(__xludf.DUMMYFUNCTION("IMPORTRANGE(""https://docs.google.com/spreadsheets/d/1-uDff_7J0KD5mKrp0Vvzr7lt3OU09vwQwhkpOPPYv2Y/edit?usp=sharing"",""งบพรบ!CS75"")"),0)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IFERROR(__xludf.DUMMYFUNCTION("IMPORTRANGE(""https://docs.google.com/spreadsheets/d/1eHaY18a8A9IcSdp1K8H6x8fbOy06t2VsZHhMHf-1x7Y/edit?usp=sharing"",""แผน!AA75"")"),7)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136400</v>
      </c>
      <c r="M186" s="550">
        <f ca="1">M187+M188</f>
        <v>91000</v>
      </c>
      <c r="N186" s="550">
        <f ca="1">N187+N188</f>
        <v>13205</v>
      </c>
      <c r="O186" s="550">
        <f ca="1">IF(L186&gt;0,N186*100/L186,0)</f>
        <v>9.6810850439882703</v>
      </c>
      <c r="P186" s="550">
        <f ca="1">IF(M186&gt;0,N186*100/M186,0)</f>
        <v>14.510989010989011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136400</v>
      </c>
      <c r="M188" s="425">
        <f ca="1">M191+M194</f>
        <v>91000</v>
      </c>
      <c r="N188" s="425">
        <f ca="1">N191+N194</f>
        <v>13205</v>
      </c>
      <c r="O188" s="425">
        <f ca="1">IF(L188&gt;0,N188*100/L188,0)</f>
        <v>9.6810850439882703</v>
      </c>
      <c r="P188" s="425">
        <f ca="1">IF(M188&gt;0,N188*100/M188,0)</f>
        <v>14.510989010989011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136400</v>
      </c>
      <c r="M189" s="425">
        <f ca="1">M190+M191</f>
        <v>91000</v>
      </c>
      <c r="N189" s="425">
        <f ca="1">N190+N191</f>
        <v>13205</v>
      </c>
      <c r="O189" s="425">
        <f ca="1">IF(L189&gt;0,N189*100/L189,0)</f>
        <v>9.6810850439882703</v>
      </c>
      <c r="P189" s="425">
        <f ca="1">IF(M189&gt;0,N189*100/M189,0)</f>
        <v>14.510989010989011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IFERROR(__xludf.DUMMYFUNCTION("IMPORTRANGE(""https://docs.google.com/spreadsheets/d/1-uDff_7J0KD5mKrp0Vvzr7lt3OU09vwQwhkpOPPYv2Y/edit?usp=sharing"",""งบพรบ!CU75"")"),136400)</f>
        <v>136400</v>
      </c>
      <c r="M191" s="425">
        <f ca="1">IFERROR(__xludf.DUMMYFUNCTION("IMPORTRANGE(""https://docs.google.com/spreadsheets/d/1-uDff_7J0KD5mKrp0Vvzr7lt3OU09vwQwhkpOPPYv2Y/edit?usp=sharing"",""งบพรบ!CZ75"")"),91000)</f>
        <v>91000</v>
      </c>
      <c r="N191" s="425">
        <f ca="1">IFERROR(__xludf.DUMMYFUNCTION("IMPORTRANGE(""https://docs.google.com/spreadsheets/d/1-uDff_7J0KD5mKrp0Vvzr7lt3OU09vwQwhkpOPPYv2Y/edit?usp=sharing"",""งบพรบ!DB75"")"),13205)</f>
        <v>13205</v>
      </c>
      <c r="O191" s="425">
        <f ca="1">IF(L191&gt;0,N191*100/L191,0)</f>
        <v>9.6810850439882703</v>
      </c>
      <c r="P191" s="425">
        <f ca="1">IF(M191&gt;0,N191*100/M191,0)</f>
        <v>14.510989010989011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IFERROR(__xludf.DUMMYFUNCTION("IMPORTRANGE(""https://docs.google.com/spreadsheets/d/1-uDff_7J0KD5mKrp0Vvzr7lt3OU09vwQwhkpOPPYv2Y/edit?usp=sharing"",""งบพรบ!CX75"")"),0)</f>
        <v>0</v>
      </c>
      <c r="M194" s="425">
        <f ca="1">IFERROR(__xludf.DUMMYFUNCTION("IMPORTRANGE(""https://docs.google.com/spreadsheets/d/1-uDff_7J0KD5mKrp0Vvzr7lt3OU09vwQwhkpOPPYv2Y/edit?usp=sharing"",""งบพรบ!DA75"")"),0)</f>
        <v>0</v>
      </c>
      <c r="N194" s="425">
        <f ca="1">IFERROR(__xludf.DUMMYFUNCTION("IMPORTRANGE(""https://docs.google.com/spreadsheets/d/1-uDff_7J0KD5mKrp0Vvzr7lt3OU09vwQwhkpOPPYv2Y/edit?usp=sharing"",""งบพรบ!DC75"")"),0)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IFERROR(__xludf.DUMMYFUNCTION("IMPORTRANGE(""https://docs.google.com/spreadsheets/d/1eHaY18a8A9IcSdp1K8H6x8fbOy06t2VsZHhMHf-1x7Y/edit?usp=sharing"",""แผน!AB75"")"),6000)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IFERROR(__xludf.DUMMYFUNCTION("IMPORTRANGE(""https://docs.google.com/spreadsheets/d/1eHaY18a8A9IcSdp1K8H6x8fbOy06t2VsZHhMHf-1x7Y/edit?usp=sharing"",""แผน!AE75"")"),4)</f>
        <v>4</v>
      </c>
      <c r="J198" s="568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3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39000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IFERROR(__xludf.DUMMYFUNCTION("IMPORTRANGE(""https://docs.google.com/spreadsheets/d/1eHaY18a8A9IcSdp1K8H6x8fbOy06t2VsZHhMHf-1x7Y/edit?usp=sharing"",""แผน!AG75"")"),3000)</f>
        <v>3000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IFERROR(__xludf.DUMMYFUNCTION("IMPORTRANGE(""https://docs.google.com/spreadsheets/d/1eHaY18a8A9IcSdp1K8H6x8fbOy06t2VsZHhMHf-1x7Y/edit?usp=sharing"",""แผน!AH75"")"),0)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IFERROR(__xludf.DUMMYFUNCTION("IMPORTRANGE(""https://docs.google.com/spreadsheets/d/1eHaY18a8A9IcSdp1K8H6x8fbOy06t2VsZHhMHf-1x7Y/edit?usp=sharing"",""แผน!AI75"")"),24000)</f>
        <v>24000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IFERROR(__xludf.DUMMYFUNCTION("IMPORTRANGE(""https://docs.google.com/spreadsheets/d/1eHaY18a8A9IcSdp1K8H6x8fbOy06t2VsZHhMHf-1x7Y/edit?usp=sharing"",""แผน!AJ75"")"),12000)</f>
        <v>12000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IFERROR(__xludf.DUMMYFUNCTION("IMPORTRANGE(""https://docs.google.com/spreadsheets/d/1eHaY18a8A9IcSdp1K8H6x8fbOy06t2VsZHhMHf-1x7Y/edit?usp=sharing"",""แผน!AK75"")"),3)</f>
        <v>3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IFERROR(__xludf.DUMMYFUNCTION("IMPORTRANGE(""https://docs.google.com/spreadsheets/d/1eHaY18a8A9IcSdp1K8H6x8fbOy06t2VsZHhMHf-1x7Y/edit?usp=sharing"",""แผน!JX75"")"),3)</f>
        <v>3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IFERROR(__xludf.DUMMYFUNCTION("IMPORTRANGE(""https://docs.google.com/spreadsheets/d/1eHaY18a8A9IcSdp1K8H6x8fbOy06t2VsZHhMHf-1x7Y/edit?usp=sharing"",""แผน!JY75"")"),0)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IFERROR(__xludf.DUMMYFUNCTION("IMPORTRANGE(""https://docs.google.com/spreadsheets/d/1eHaY18a8A9IcSdp1K8H6x8fbOy06t2VsZHhMHf-1x7Y/edit?usp=sharing"",""แผน!AM75"")"),0)</f>
        <v>0</v>
      </c>
      <c r="M215" s="428"/>
      <c r="N215" s="683">
        <v>0</v>
      </c>
      <c r="O215" s="527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IFERROR(__xludf.DUMMYFUNCTION("IMPORTRANGE(""https://docs.google.com/spreadsheets/d/1eHaY18a8A9IcSdp1K8H6x8fbOy06t2VsZHhMHf-1x7Y/edit?usp=sharing"",""แผน!AN75"")"),0)</f>
        <v>0</v>
      </c>
      <c r="M216" s="428"/>
      <c r="N216" s="683">
        <v>0</v>
      </c>
      <c r="O216" s="527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IFERROR(__xludf.DUMMYFUNCTION("IMPORTRANGE(""https://docs.google.com/spreadsheets/d/1eHaY18a8A9IcSdp1K8H6x8fbOy06t2VsZHhMHf-1x7Y/edit?usp=sharing"",""แผน!AO75"")"),0)</f>
        <v>0</v>
      </c>
      <c r="M217" s="428"/>
      <c r="N217" s="683">
        <v>0</v>
      </c>
      <c r="O217" s="527"/>
      <c r="P217" s="428"/>
    </row>
    <row r="218" spans="1:16" ht="19.5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IFERROR(__xludf.DUMMYFUNCTION("IMPORTRANGE(""https://docs.google.com/spreadsheets/d/1eHaY18a8A9IcSdp1K8H6x8fbOy06t2VsZHhMHf-1x7Y/edit?usp=sharing"",""แผน!AP75"")"),0)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IFERROR(__xludf.DUMMYFUNCTION("IMPORTRANGE(""https://docs.google.com/spreadsheets/d/1eHaY18a8A9IcSdp1K8H6x8fbOy06t2VsZHhMHf-1x7Y/edit?usp=sharing"",""แผน!AP75"")"),0)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8500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IFERROR(__xludf.DUMMYFUNCTION("IMPORTRANGE(""https://docs.google.com/spreadsheets/d/1eHaY18a8A9IcSdp1K8H6x8fbOy06t2VsZHhMHf-1x7Y/edit?usp=sharing"",""แผน!AR75"")"),7000)</f>
        <v>7000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IFERROR(__xludf.DUMMYFUNCTION("IMPORTRANGE(""https://docs.google.com/spreadsheets/d/1eHaY18a8A9IcSdp1K8H6x8fbOy06t2VsZHhMHf-1x7Y/edit?usp=sharing"",""แผน!AS75"")"),1500)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IFERROR(__xludf.DUMMYFUNCTION("IMPORTRANGE(""https://docs.google.com/spreadsheets/d/1eHaY18a8A9IcSdp1K8H6x8fbOy06t2VsZHhMHf-1x7Y/edit?usp=sharing"",""แผน!AT75"")"),0)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IFERROR(__xludf.DUMMYFUNCTION("IMPORTRANGE(""https://docs.google.com/spreadsheets/d/1eHaY18a8A9IcSdp1K8H6x8fbOy06t2VsZHhMHf-1x7Y/edit?usp=sharing"",""แผน!AV75"")"),50000)</f>
        <v>50000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IFERROR(__xludf.DUMMYFUNCTION("IMPORTRANGE(""https://docs.google.com/spreadsheets/d/1eHaY18a8A9IcSdp1K8H6x8fbOy06t2VsZHhMHf-1x7Y/edit?usp=sharing"",""แผน!AV75"")"),50000)</f>
        <v>50000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IFERROR(__xludf.DUMMYFUNCTION("IMPORTRANGE(""https://docs.google.com/spreadsheets/d/1eHaY18a8A9IcSdp1K8H6x8fbOy06t2VsZHhMHf-1x7Y/edit?usp=sharing"",""แผน!AU75"")"),0)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IFERROR(__xludf.DUMMYFUNCTION("IMPORTRANGE(""https://docs.google.com/spreadsheets/d/1eHaY18a8A9IcSdp1K8H6x8fbOy06t2VsZHhMHf-1x7Y/edit?usp=sharing"",""แผน!AX75"")"),0)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IFERROR(__xludf.DUMMYFUNCTION("IMPORTRANGE(""https://docs.google.com/spreadsheets/d/1eHaY18a8A9IcSdp1K8H6x8fbOy06t2VsZHhMHf-1x7Y/edit?usp=sharing"",""แผน!AY75"")"),0)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IFERROR(__xludf.DUMMYFUNCTION("IMPORTRANGE(""https://docs.google.com/spreadsheets/d/1eHaY18a8A9IcSdp1K8H6x8fbOy06t2VsZHhMHf-1x7Y/edit?usp=sharing"",""แผน!AZ75"")"),0)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IFERROR(__xludf.DUMMYFUNCTION("IMPORTRANGE(""https://docs.google.com/spreadsheets/d/1eHaY18a8A9IcSdp1K8H6x8fbOy06t2VsZHhMHf-1x7Y/edit?usp=sharing"",""แผน!BA75"")"),0)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IFERROR(__xludf.DUMMYFUNCTION("IMPORTRANGE(""https://docs.google.com/spreadsheets/d/1eHaY18a8A9IcSdp1K8H6x8fbOy06t2VsZHhMHf-1x7Y/edit?usp=sharing"",""แผน!BG75"")"),0)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IFERROR(__xludf.DUMMYFUNCTION("IMPORTRANGE(""https://docs.google.com/spreadsheets/d/1eHaY18a8A9IcSdp1K8H6x8fbOy06t2VsZHhMHf-1x7Y/edit?usp=sharing"",""แผน!BB75"")"),0)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IFERROR(__xludf.DUMMYFUNCTION("IMPORTRANGE(""https://docs.google.com/spreadsheets/d/1eHaY18a8A9IcSdp1K8H6x8fbOy06t2VsZHhMHf-1x7Y/edit?usp=sharing"",""แผน!BC75"")"),0)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IFERROR(__xludf.DUMMYFUNCTION("IMPORTRANGE(""https://docs.google.com/spreadsheets/d/1eHaY18a8A9IcSdp1K8H6x8fbOy06t2VsZHhMHf-1x7Y/edit?usp=sharing"",""แผน!BD75"")"),0)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IFERROR(__xludf.DUMMYFUNCTION("IMPORTRANGE(""https://docs.google.com/spreadsheets/d/1eHaY18a8A9IcSdp1K8H6x8fbOy06t2VsZHhMHf-1x7Y/edit?usp=sharing"",""แผน!BE75"")"),0)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IFERROR(__xludf.DUMMYFUNCTION("IMPORTRANGE(""https://docs.google.com/spreadsheets/d/1eHaY18a8A9IcSdp1K8H6x8fbOy06t2VsZHhMHf-1x7Y/edit?usp=sharing"",""แผน!BH75"")"),0)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IFERROR(__xludf.DUMMYFUNCTION("IMPORTRANGE(""https://docs.google.com/spreadsheets/d/1-uDff_7J0KD5mKrp0Vvzr7lt3OU09vwQwhkpOPPYv2Y/edit?usp=sharing"",""งบพรบ!DE75"")"),0)</f>
        <v>0</v>
      </c>
      <c r="M271" s="544">
        <f ca="1">IFERROR(__xludf.DUMMYFUNCTION("IMPORTRANGE(""https://docs.google.com/spreadsheets/d/1-uDff_7J0KD5mKrp0Vvzr7lt3OU09vwQwhkpOPPYv2Y/edit?usp=sharing"",""งบพรบ!DJ75"")"),0)</f>
        <v>0</v>
      </c>
      <c r="N271" s="544">
        <f ca="1">IFERROR(__xludf.DUMMYFUNCTION("IMPORTRANGE(""https://docs.google.com/spreadsheets/d/1-uDff_7J0KD5mKrp0Vvzr7lt3OU09vwQwhkpOPPYv2Y/edit?usp=sharing"",""งบพรบ!DL75"")"),0)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IFERROR(__xludf.DUMMYFUNCTION("IMPORTRANGE(""https://docs.google.com/spreadsheets/d/1-uDff_7J0KD5mKrp0Vvzr7lt3OU09vwQwhkpOPPYv2Y/edit?usp=sharing"",""งบพรบ!DH75"")"),0)</f>
        <v>0</v>
      </c>
      <c r="M274" s="544">
        <f ca="1">IFERROR(__xludf.DUMMYFUNCTION("IMPORTRANGE(""https://docs.google.com/spreadsheets/d/1-uDff_7J0KD5mKrp0Vvzr7lt3OU09vwQwhkpOPPYv2Y/edit?usp=sharing"",""งบพรบ!DK75"")"),0)</f>
        <v>0</v>
      </c>
      <c r="N274" s="544">
        <f ca="1">IFERROR(__xludf.DUMMYFUNCTION("IMPORTRANGE(""https://docs.google.com/spreadsheets/d/1-uDff_7J0KD5mKrp0Vvzr7lt3OU09vwQwhkpOPPYv2Y/edit?usp=sharing"",""งบพรบ!DM75"")"),0)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IFERROR(__xludf.DUMMYFUNCTION("IMPORTRANGE(""https://docs.google.com/spreadsheets/d/1-uDff_7J0KD5mKrp0Vvzr7lt3OU09vwQwhkpOPPYv2Y/edit?usp=sharing"",""งบพรบ!DO75"")"),0)</f>
        <v>0</v>
      </c>
      <c r="M287" s="425">
        <f ca="1">IFERROR(__xludf.DUMMYFUNCTION("IMPORTRANGE(""https://docs.google.com/spreadsheets/d/1-uDff_7J0KD5mKrp0Vvzr7lt3OU09vwQwhkpOPPYv2Y/edit?usp=sharing"",""งบพรบ!DT75"")"),0)</f>
        <v>0</v>
      </c>
      <c r="N287" s="425">
        <f ca="1">IFERROR(__xludf.DUMMYFUNCTION("IMPORTRANGE(""https://docs.google.com/spreadsheets/d/1-uDff_7J0KD5mKrp0Vvzr7lt3OU09vwQwhkpOPPYv2Y/edit?usp=sharing"",""งบพรบ!DV75"")"),0)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IFERROR(__xludf.DUMMYFUNCTION("IMPORTRANGE(""https://docs.google.com/spreadsheets/d/1-uDff_7J0KD5mKrp0Vvzr7lt3OU09vwQwhkpOPPYv2Y/edit?usp=sharing"",""งบพรบ!DR75"")"),0)</f>
        <v>0</v>
      </c>
      <c r="M290" s="425">
        <f ca="1">IFERROR(__xludf.DUMMYFUNCTION("IMPORTRANGE(""https://docs.google.com/spreadsheets/d/1-uDff_7J0KD5mKrp0Vvzr7lt3OU09vwQwhkpOPPYv2Y/edit?usp=sharing"",""งบพรบ!DU75"")"),0)</f>
        <v>0</v>
      </c>
      <c r="N290" s="425">
        <f ca="1">IFERROR(__xludf.DUMMYFUNCTION("IMPORTRANGE(""https://docs.google.com/spreadsheets/d/1-uDff_7J0KD5mKrp0Vvzr7lt3OU09vwQwhkpOPPYv2Y/edit?usp=sharing"",""งบพรบ!DW75"")"),0)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IFERROR(__xludf.DUMMYFUNCTION("IMPORTRANGE(""https://docs.google.com/spreadsheets/d/1eHaY18a8A9IcSdp1K8H6x8fbOy06t2VsZHhMHf-1x7Y/edit?usp=sharing"",""แผน!EE75"")"),0)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IFERROR(__xludf.DUMMYFUNCTION("IMPORTRANGE(""https://docs.google.com/spreadsheets/d/1eHaY18a8A9IcSdp1K8H6x8fbOy06t2VsZHhMHf-1x7Y/edit?usp=sharing"",""แผน!ED75"")"),0)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IFERROR(__xludf.DUMMYFUNCTION("IMPORTRANGE(""https://docs.google.com/spreadsheets/d/1eHaY18a8A9IcSdp1K8H6x8fbOy06t2VsZHhMHf-1x7Y/edit?usp=sharing"",""แผน!ED75"")"),0)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IFERROR(__xludf.DUMMYFUNCTION("IMPORTRANGE(""https://docs.google.com/spreadsheets/d/1eHaY18a8A9IcSdp1K8H6x8fbOy06t2VsZHhMHf-1x7Y/edit?usp=sharing"",""แผน!ED75"")"),0)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IFERROR(__xludf.DUMMYFUNCTION("IMPORTRANGE(""https://docs.google.com/spreadsheets/d/1-uDff_7J0KD5mKrp0Vvzr7lt3OU09vwQwhkpOPPYv2Y/edit?usp=sharing"",""งบพรบ!DY75"")"),0)</f>
        <v>0</v>
      </c>
      <c r="M308" s="425">
        <f ca="1">IFERROR(__xludf.DUMMYFUNCTION("IMPORTRANGE(""https://docs.google.com/spreadsheets/d/1-uDff_7J0KD5mKrp0Vvzr7lt3OU09vwQwhkpOPPYv2Y/edit?usp=sharing"",""งบพรบ!ED75"")"),0)</f>
        <v>0</v>
      </c>
      <c r="N308" s="425">
        <f ca="1">IFERROR(__xludf.DUMMYFUNCTION("IMPORTRANGE(""https://docs.google.com/spreadsheets/d/1-uDff_7J0KD5mKrp0Vvzr7lt3OU09vwQwhkpOPPYv2Y/edit?usp=sharing"",""งบพรบ!EF75"")"),0)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IFERROR(__xludf.DUMMYFUNCTION("IMPORTRANGE(""https://docs.google.com/spreadsheets/d/1-uDff_7J0KD5mKrp0Vvzr7lt3OU09vwQwhkpOPPYv2Y/edit?usp=sharing"",""งบพรบ!EB75"")"),0)</f>
        <v>0</v>
      </c>
      <c r="M311" s="425">
        <f ca="1">IFERROR(__xludf.DUMMYFUNCTION("IMPORTRANGE(""https://docs.google.com/spreadsheets/d/1-uDff_7J0KD5mKrp0Vvzr7lt3OU09vwQwhkpOPPYv2Y/edit?usp=sharing"",""งบพรบ!EE75"")"),0)</f>
        <v>0</v>
      </c>
      <c r="N311" s="425">
        <f ca="1">IFERROR(__xludf.DUMMYFUNCTION("IMPORTRANGE(""https://docs.google.com/spreadsheets/d/1-uDff_7J0KD5mKrp0Vvzr7lt3OU09vwQwhkpOPPYv2Y/edit?usp=sharing"",""งบพรบ!EG75"")"),0)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IFERROR(__xludf.DUMMYFUNCTION("IMPORTRANGE(""https://docs.google.com/spreadsheets/d/1eHaY18a8A9IcSdp1K8H6x8fbOy06t2VsZHhMHf-1x7Y/edit?usp=sharing"",""แผน!EF75"")"),0)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IFERROR(__xludf.DUMMYFUNCTION("IMPORTRANGE(""https://docs.google.com/spreadsheets/d/1eHaY18a8A9IcSdp1K8H6x8fbOy06t2VsZHhMHf-1x7Y/edit?usp=sharing"",""แผน!EG75"")"),0)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IFERROR(__xludf.DUMMYFUNCTION("IMPORTRANGE(""https://docs.google.com/spreadsheets/d/1eHaY18a8A9IcSdp1K8H6x8fbOy06t2VsZHhMHf-1x7Y/edit?usp=sharing"",""แผน!EH75"")"),0)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IFERROR(__xludf.DUMMYFUNCTION("IMPORTRANGE(""https://docs.google.com/spreadsheets/d/1eHaY18a8A9IcSdp1K8H6x8fbOy06t2VsZHhMHf-1x7Y/edit?usp=sharing"",""แผน!Ei75"")"),0)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1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30000</v>
      </c>
      <c r="M320" s="550">
        <f ca="1">M321+M322</f>
        <v>90000</v>
      </c>
      <c r="N320" s="550">
        <f ca="1">N321+N322</f>
        <v>84380</v>
      </c>
      <c r="O320" s="550">
        <f ca="1">IF(L320&gt;0,N320*100/L320,0)</f>
        <v>281.26666666666665</v>
      </c>
      <c r="P320" s="550">
        <f ca="1">IF(M320&gt;0,N320*100/M320,0)</f>
        <v>93.75555555555556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30000</v>
      </c>
      <c r="M322" s="425">
        <f ca="1">M325+M328</f>
        <v>90000</v>
      </c>
      <c r="N322" s="425">
        <f ca="1">N325+N328</f>
        <v>84380</v>
      </c>
      <c r="O322" s="425">
        <f ca="1">IF(L322&gt;0,N322*100/L322,0)</f>
        <v>281.26666666666665</v>
      </c>
      <c r="P322" s="425">
        <f ca="1">IF(M322&gt;0,N322*100/M322,0)</f>
        <v>93.75555555555556</v>
      </c>
    </row>
    <row r="323" spans="1:16" ht="18.75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30000</v>
      </c>
      <c r="M323" s="425">
        <f ca="1">M324+M325</f>
        <v>90000</v>
      </c>
      <c r="N323" s="425">
        <f ca="1">N324+N325</f>
        <v>84380</v>
      </c>
      <c r="O323" s="425">
        <f ca="1">IF(L323&gt;0,N323*100/L323,0)</f>
        <v>281.26666666666665</v>
      </c>
      <c r="P323" s="425">
        <f ca="1">IF(M323&gt;0,N323*100/M323,0)</f>
        <v>93.75555555555556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IFERROR(__xludf.DUMMYFUNCTION("IMPORTRANGE(""https://docs.google.com/spreadsheets/d/1-uDff_7J0KD5mKrp0Vvzr7lt3OU09vwQwhkpOPPYv2Y/edit?usp=sharing"",""งบพรบ!EI75"")"),30000)</f>
        <v>30000</v>
      </c>
      <c r="M325" s="425">
        <f ca="1">IFERROR(__xludf.DUMMYFUNCTION("IMPORTRANGE(""https://docs.google.com/spreadsheets/d/1-uDff_7J0KD5mKrp0Vvzr7lt3OU09vwQwhkpOPPYv2Y/edit?usp=sharing"",""งบพรบ!EN75"")"),90000)</f>
        <v>90000</v>
      </c>
      <c r="N325" s="425">
        <f ca="1">IFERROR(__xludf.DUMMYFUNCTION("IMPORTRANGE(""https://docs.google.com/spreadsheets/d/1-uDff_7J0KD5mKrp0Vvzr7lt3OU09vwQwhkpOPPYv2Y/edit?usp=sharing"",""งบพรบ!EP75"")"),84380)</f>
        <v>84380</v>
      </c>
      <c r="O325" s="425">
        <f ca="1">IF(L325&gt;0,N325*100/L325,0)</f>
        <v>281.26666666666665</v>
      </c>
      <c r="P325" s="425">
        <f ca="1">IF(M325&gt;0,N325*100/M325,0)</f>
        <v>93.75555555555556</v>
      </c>
    </row>
    <row r="326" spans="1:16" ht="18.75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IFERROR(__xludf.DUMMYFUNCTION("IMPORTRANGE(""https://docs.google.com/spreadsheets/d/1-uDff_7J0KD5mKrp0Vvzr7lt3OU09vwQwhkpOPPYv2Y/edit?usp=sharing"",""งบพรบ!EL75"")"),0)</f>
        <v>0</v>
      </c>
      <c r="M328" s="425">
        <f ca="1">IFERROR(__xludf.DUMMYFUNCTION("IMPORTRANGE(""https://docs.google.com/spreadsheets/d/1-uDff_7J0KD5mKrp0Vvzr7lt3OU09vwQwhkpOPPYv2Y/edit?usp=sharing"",""งบพรบ!EO75"")"),0)</f>
        <v>0</v>
      </c>
      <c r="N328" s="425">
        <f ca="1">IFERROR(__xludf.DUMMYFUNCTION("IMPORTRANGE(""https://docs.google.com/spreadsheets/d/1-uDff_7J0KD5mKrp0Vvzr7lt3OU09vwQwhkpOPPYv2Y/edit?usp=sharing"",""งบพรบ!EQ75"")"),0)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IFERROR(__xludf.DUMMYFUNCTION("IMPORTRANGE(""https://docs.google.com/spreadsheets/d/1eHaY18a8A9IcSdp1K8H6x8fbOy06t2VsZHhMHf-1x7Y/edit?usp=sharing"",""แผน!EJ75"")"),1)</f>
        <v>1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1340</v>
      </c>
      <c r="J332" s="402">
        <f ca="1">J344+J347+J348+J349+J353</f>
        <v>2598</v>
      </c>
      <c r="K332" s="403">
        <f ca="1">IF(I332&gt;0,J332*100/I332,0)</f>
        <v>193.88059701492537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106000</v>
      </c>
      <c r="M333" s="550">
        <f ca="1">M334+M335</f>
        <v>85750</v>
      </c>
      <c r="N333" s="550">
        <f ca="1">N334+N335</f>
        <v>16166.67</v>
      </c>
      <c r="O333" s="550">
        <f ca="1">IF(L333&gt;0,N333*100/L333,0)</f>
        <v>15.251575471698112</v>
      </c>
      <c r="P333" s="550">
        <f ca="1">IF(M333&gt;0,N333*100/M333,0)</f>
        <v>18.85325947521866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106000</v>
      </c>
      <c r="M335" s="425">
        <f ca="1">M338+M341</f>
        <v>85750</v>
      </c>
      <c r="N335" s="425">
        <f ca="1">N338+N341</f>
        <v>16166.67</v>
      </c>
      <c r="O335" s="425">
        <f ca="1">IF(L335&gt;0,N335*100/L335,0)</f>
        <v>15.251575471698112</v>
      </c>
      <c r="P335" s="425">
        <f ca="1">IF(M335&gt;0,N335*100/M335,0)</f>
        <v>18.85325947521866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106000</v>
      </c>
      <c r="M336" s="425">
        <f ca="1">M337+M338</f>
        <v>85750</v>
      </c>
      <c r="N336" s="425">
        <f ca="1">N337+N338</f>
        <v>16166.67</v>
      </c>
      <c r="O336" s="425">
        <f ca="1">IF(L336&gt;0,N336*100/L336,0)</f>
        <v>15.251575471698112</v>
      </c>
      <c r="P336" s="425">
        <f ca="1">IF(M336&gt;0,N336*100/M336,0)</f>
        <v>18.85325947521866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IFERROR(__xludf.DUMMYFUNCTION("IMPORTRANGE(""https://docs.google.com/spreadsheets/d/1-uDff_7J0KD5mKrp0Vvzr7lt3OU09vwQwhkpOPPYv2Y/edit?usp=sharing"",""งบพรบ!ES75"")"),106000)</f>
        <v>106000</v>
      </c>
      <c r="M338" s="425">
        <f ca="1">IFERROR(__xludf.DUMMYFUNCTION("IMPORTRANGE(""https://docs.google.com/spreadsheets/d/1-uDff_7J0KD5mKrp0Vvzr7lt3OU09vwQwhkpOPPYv2Y/edit?usp=sharing"",""งบพรบ!EX75"")"),85750)</f>
        <v>85750</v>
      </c>
      <c r="N338" s="425">
        <f ca="1">IFERROR(__xludf.DUMMYFUNCTION("IMPORTRANGE(""https://docs.google.com/spreadsheets/d/1-uDff_7J0KD5mKrp0Vvzr7lt3OU09vwQwhkpOPPYv2Y/edit?usp=sharing"",""งบพรบ!EZ75"")"),16166.67)</f>
        <v>16166.67</v>
      </c>
      <c r="O338" s="425">
        <f ca="1">IF(L338&gt;0,N338*100/L338,0)</f>
        <v>15.251575471698112</v>
      </c>
      <c r="P338" s="425">
        <f ca="1">IF(M338&gt;0,N338*100/M338,0)</f>
        <v>18.85325947521866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IFERROR(__xludf.DUMMYFUNCTION("IMPORTRANGE(""https://docs.google.com/spreadsheets/d/1-uDff_7J0KD5mKrp0Vvzr7lt3OU09vwQwhkpOPPYv2Y/edit?usp=sharing"",""งบพรบ!EV75"")"),0)</f>
        <v>0</v>
      </c>
      <c r="M341" s="425">
        <f ca="1">IFERROR(__xludf.DUMMYFUNCTION("IMPORTRANGE(""https://docs.google.com/spreadsheets/d/1-uDff_7J0KD5mKrp0Vvzr7lt3OU09vwQwhkpOPPYv2Y/edit?usp=sharing"",""งบพรบ!EY75"")"),0)</f>
        <v>0</v>
      </c>
      <c r="N341" s="425">
        <f ca="1">IFERROR(__xludf.DUMMYFUNCTION("IMPORTRANGE(""https://docs.google.com/spreadsheets/d/1-uDff_7J0KD5mKrp0Vvzr7lt3OU09vwQwhkpOPPYv2Y/edit?usp=sharing"",""งบพรบ!FA75"")"),0)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778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IFERROR(__xludf.DUMMYFUNCTION("IMPORTRANGE(""https://docs.google.com/spreadsheets/d/1eHaY18a8A9IcSdp1K8H6x8fbOy06t2VsZHhMHf-1x7Y/edit?usp=sharing"",""แผน!EK75"")"),1340)</f>
        <v>1340</v>
      </c>
      <c r="J344" s="424">
        <f ca="1">IFERROR(__xludf.DUMMYFUNCTION("IMPORTRANGE(""https://docs.google.com/spreadsheets/d/1awYsYK3VOup2i3Pq_Yjnu8DRu_mYwSBnCR2QPthd0rU/edit?usp=sharing"",""ศูนย์ยกเว้นโฉนด!D75"")"),745)</f>
        <v>745</v>
      </c>
      <c r="K344" s="425">
        <f ca="1">IF(I344&gt;0,J344*100/I344,0)</f>
        <v>55.597014925373138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IFERROR(__xludf.DUMMYFUNCTION("IMPORTRANGE(""https://docs.google.com/spreadsheets/d/1eHaY18a8A9IcSdp1K8H6x8fbOy06t2VsZHhMHf-1x7Y/edit?usp=sharing"",""แผน!EL75"")"),3)</f>
        <v>3</v>
      </c>
      <c r="J346" s="424">
        <f ca="1">IFERROR(__xludf.DUMMYFUNCTION("IMPORTRANGE(""https://docs.google.com/spreadsheets/d/1awYsYK3VOup2i3Pq_Yjnu8DRu_mYwSBnCR2QPthd0rU/edit?usp=sharing"",""ศูนย์รวม!E75"")"),4)</f>
        <v>4</v>
      </c>
      <c r="K346" s="425">
        <f ca="1">IF(I346&gt;0,J346*100/I346,0)</f>
        <v>133.33333333333334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IFERROR(__xludf.DUMMYFUNCTION("IMPORTRANGE(""https://docs.google.com/spreadsheets/d/1awYsYK3VOup2i3Pq_Yjnu8DRu_mYwSBnCR2QPthd0rU/edit?usp=sharing"",""ศูนย์ยกเว้นโฉนด!F75"")"),27)</f>
        <v>27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IFERROR(__xludf.DUMMYFUNCTION("IMPORTRANGE(""https://docs.google.com/spreadsheets/d/1awYsYK3VOup2i3Pq_Yjnu8DRu_mYwSBnCR2QPthd0rU/edit?usp=sharing"",""ศูนย์ยกเว้นโฉนด!G75"")"),6)</f>
        <v>6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IFERROR(__xludf.DUMMYFUNCTION("IMPORTRANGE(""https://docs.google.com/spreadsheets/d/1awYsYK3VOup2i3Pq_Yjnu8DRu_mYwSBnCR2QPthd0rU/edit?usp=sharing"",""ศูนย์ยกเว้นโฉนด!H75"")"),0)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2064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IFERROR(__xludf.DUMMYFUNCTION("IMPORTRANGE(""https://docs.google.com/spreadsheets/d/1awYsYK3VOup2i3Pq_Yjnu8DRu_mYwSBnCR2QPthd0rU/edit?usp=sharing"",""โฉนดM3!G75"")"),244)</f>
        <v>244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IFERROR(__xludf.DUMMYFUNCTION("IMPORTRANGE(""https://docs.google.com/spreadsheets/d/1awYsYK3VOup2i3Pq_Yjnu8DRu_mYwSBnCR2QPthd0rU/edit?usp=sharing"",""โฉนดM3!H75"")"),1820)</f>
        <v>1820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584350</v>
      </c>
      <c r="M356" s="550">
        <f ca="1">M357+M358</f>
        <v>542550</v>
      </c>
      <c r="N356" s="550">
        <f ca="1">N357+N358</f>
        <v>164680</v>
      </c>
      <c r="O356" s="550">
        <f ca="1">IF(L356&gt;0,N356*100/L356,0)</f>
        <v>28.181740395311028</v>
      </c>
      <c r="P356" s="550">
        <f ca="1">IF(M356&gt;0,N356*100/M356,0)</f>
        <v>30.352962860565846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584350</v>
      </c>
      <c r="M358" s="425">
        <f ca="1">M361+M364</f>
        <v>542550</v>
      </c>
      <c r="N358" s="425">
        <f ca="1">N361+N364</f>
        <v>164680</v>
      </c>
      <c r="O358" s="425">
        <f ca="1">IF(L358&gt;0,N358*100/L358,0)</f>
        <v>28.181740395311028</v>
      </c>
      <c r="P358" s="425">
        <f ca="1">IF(M358&gt;0,N358*100/M358,0)</f>
        <v>30.352962860565846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584350</v>
      </c>
      <c r="M359" s="425">
        <f ca="1">M360+M361</f>
        <v>542550</v>
      </c>
      <c r="N359" s="425">
        <f ca="1">N360+N361</f>
        <v>164680</v>
      </c>
      <c r="O359" s="425">
        <f ca="1">IF(L359&gt;0,N359*100/L359,0)</f>
        <v>28.181740395311028</v>
      </c>
      <c r="P359" s="425">
        <f ca="1">IF(M359&gt;0,N359*100/M359,0)</f>
        <v>30.352962860565846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IFERROR(__xludf.DUMMYFUNCTION("IMPORTRANGE(""https://docs.google.com/spreadsheets/d/1-uDff_7J0KD5mKrp0Vvzr7lt3OU09vwQwhkpOPPYv2Y/edit?usp=sharing"",""งบพรบ!FC75"")"),584350)</f>
        <v>584350</v>
      </c>
      <c r="M361" s="425">
        <f ca="1">IFERROR(__xludf.DUMMYFUNCTION("IMPORTRANGE(""https://docs.google.com/spreadsheets/d/1-uDff_7J0KD5mKrp0Vvzr7lt3OU09vwQwhkpOPPYv2Y/edit?usp=sharing"",""งบพรบ!FH75"")"),542550)</f>
        <v>542550</v>
      </c>
      <c r="N361" s="425">
        <f ca="1">IFERROR(__xludf.DUMMYFUNCTION("IMPORTRANGE(""https://docs.google.com/spreadsheets/d/1-uDff_7J0KD5mKrp0Vvzr7lt3OU09vwQwhkpOPPYv2Y/edit?usp=sharing"",""งบพรบ!FJ75"")"),164680)</f>
        <v>164680</v>
      </c>
      <c r="O361" s="425">
        <f ca="1">IF(L361&gt;0,N361*100/L361,0)</f>
        <v>28.181740395311028</v>
      </c>
      <c r="P361" s="425">
        <f ca="1">IF(M361&gt;0,N361*100/M361,0)</f>
        <v>30.352962860565846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IFERROR(__xludf.DUMMYFUNCTION("IMPORTRANGE(""https://docs.google.com/spreadsheets/d/1-uDff_7J0KD5mKrp0Vvzr7lt3OU09vwQwhkpOPPYv2Y/edit?usp=sharing"",""งบพรบ!FF75"")"),0)</f>
        <v>0</v>
      </c>
      <c r="M364" s="425">
        <f ca="1">IFERROR(__xludf.DUMMYFUNCTION("IMPORTRANGE(""https://docs.google.com/spreadsheets/d/1-uDff_7J0KD5mKrp0Vvzr7lt3OU09vwQwhkpOPPYv2Y/edit?usp=sharing"",""งบพรบ!FI75"")"),0)</f>
        <v>0</v>
      </c>
      <c r="N364" s="425">
        <f ca="1">IFERROR(__xludf.DUMMYFUNCTION("IMPORTRANGE(""https://docs.google.com/spreadsheets/d/1-uDff_7J0KD5mKrp0Vvzr7lt3OU09vwQwhkpOPPYv2Y/edit?usp=sharing"",""งบพรบ!FK75"")"),0)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210</v>
      </c>
      <c r="J365" s="438">
        <f ca="1">J371</f>
        <v>78</v>
      </c>
      <c r="K365" s="439">
        <f ca="1">IF(I365&gt;0,J365*100/I365,0)</f>
        <v>37.142857142857146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IFERROR(__xludf.DUMMYFUNCTION("IMPORTRANGE(""https://docs.google.com/spreadsheets/d/1tdoBKaGub7dwA3U6UFTqxio9LNnvDCQjHKmttSEBsFQ/edit?usp=sharing"",""จัดที่ดิน!AB75"")"),6)</f>
        <v>6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IFERROR(__xludf.DUMMYFUNCTION("IMPORTRANGE(""https://docs.google.com/spreadsheets/d/1eHaY18a8A9IcSdp1K8H6x8fbOy06t2VsZHhMHf-1x7Y/edit?usp=sharing"",""แผน!EW75"")"),1750)</f>
        <v>1750</v>
      </c>
      <c r="J368" s="528">
        <f ca="1">IFERROR(__xludf.DUMMYFUNCTION("IMPORTRANGE(""https://docs.google.com/spreadsheets/d/1tdoBKaGub7dwA3U6UFTqxio9LNnvDCQjHKmttSEBsFQ/edit?usp=sharing"",""จัดที่ดิน!AC75"")"),84.37)</f>
        <v>84.37</v>
      </c>
      <c r="K368" s="425">
        <f ca="1">IF(I368&gt;0,J368*100/I368,0)</f>
        <v>4.8211428571428572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IFERROR(__xludf.DUMMYFUNCTION("IMPORTRANGE(""https://docs.google.com/spreadsheets/d/1eHaY18a8A9IcSdp1K8H6x8fbOy06t2VsZHhMHf-1x7Y/edit?usp=sharing"",""แผน!EX75"")"),305)</f>
        <v>305</v>
      </c>
      <c r="J369" s="424">
        <f ca="1">IFERROR(__xludf.DUMMYFUNCTION("IMPORTRANGE(""https://docs.google.com/spreadsheets/d/1tdoBKaGub7dwA3U6UFTqxio9LNnvDCQjHKmttSEBsFQ/edit?usp=sharing"",""จัดที่ดิน!AD75"")"),81)</f>
        <v>81</v>
      </c>
      <c r="K369" s="425">
        <f ca="1">IF(I369&gt;0,J369*100/I369,0)</f>
        <v>26.557377049180328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IFERROR(__xludf.DUMMYFUNCTION("IMPORTRANGE(""https://docs.google.com/spreadsheets/d/1tdoBKaGub7dwA3U6UFTqxio9LNnvDCQjHKmttSEBsFQ/edit?usp=sharing"",""จัดที่ดิน!AE75"")"),1268.84)</f>
        <v>1268.8399999999999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IFERROR(__xludf.DUMMYFUNCTION("IMPORTRANGE(""https://docs.google.com/spreadsheets/d/1eHaY18a8A9IcSdp1K8H6x8fbOy06t2VsZHhMHf-1x7Y/edit?usp=sharing"",""แผน!EY75"")"),210)</f>
        <v>210</v>
      </c>
      <c r="J371" s="424">
        <f ca="1">IFERROR(__xludf.DUMMYFUNCTION("IMPORTRANGE(""https://docs.google.com/spreadsheets/d/1tdoBKaGub7dwA3U6UFTqxio9LNnvDCQjHKmttSEBsFQ/edit?usp=sharing"",""จัดที่ดิน!AF75"")"),78)</f>
        <v>78</v>
      </c>
      <c r="K371" s="425">
        <f ca="1">IF(I371&gt;0,J371*100/I371,0)</f>
        <v>37.142857142857146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IFERROR(__xludf.DUMMYFUNCTION("IMPORTRANGE(""https://docs.google.com/spreadsheets/d/1tdoBKaGub7dwA3U6UFTqxio9LNnvDCQjHKmttSEBsFQ/edit?usp=sharing"",""จัดที่ดิน!AG75"")"),1226.81)</f>
        <v>1226.81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x14ac:dyDescent="0.3">
      <c r="A374" s="520" t="s">
        <v>146</v>
      </c>
      <c r="B374" s="519"/>
      <c r="C374" s="519"/>
      <c r="D374" s="519"/>
      <c r="E374" s="518"/>
      <c r="F374" s="518"/>
      <c r="G374" s="518"/>
      <c r="H374" s="518"/>
      <c r="I374" s="517"/>
      <c r="J374" s="517"/>
      <c r="K374" s="516"/>
      <c r="L374" s="516"/>
      <c r="M374" s="516"/>
      <c r="N374" s="516"/>
      <c r="O374" s="516"/>
      <c r="P374" s="515"/>
    </row>
    <row r="375" spans="1:16" ht="19.5" x14ac:dyDescent="0.3">
      <c r="A375" s="464" t="s">
        <v>147</v>
      </c>
      <c r="B375" s="465"/>
      <c r="C375" s="465"/>
      <c r="D375" s="466"/>
      <c r="E375" s="465"/>
      <c r="F375" s="465"/>
      <c r="G375" s="465"/>
      <c r="H375" s="467"/>
      <c r="I375" s="468"/>
      <c r="J375" s="468"/>
      <c r="K375" s="469"/>
      <c r="L375" s="469"/>
      <c r="M375" s="469"/>
      <c r="N375" s="469"/>
      <c r="O375" s="469"/>
      <c r="P375" s="469"/>
    </row>
    <row r="376" spans="1:16" ht="19.5" x14ac:dyDescent="0.3">
      <c r="A376" s="470"/>
      <c r="B376" s="471" t="s">
        <v>148</v>
      </c>
      <c r="C376" s="472"/>
      <c r="D376" s="473"/>
      <c r="E376" s="473"/>
      <c r="F376" s="473"/>
      <c r="G376" s="474"/>
      <c r="H376" s="475" t="s">
        <v>54</v>
      </c>
      <c r="I376" s="476">
        <f>I388</f>
        <v>0</v>
      </c>
      <c r="J376" s="476">
        <f>J388</f>
        <v>0</v>
      </c>
      <c r="K376" s="477">
        <f>IF(I376&gt;0,J376*100/I376,0)</f>
        <v>0</v>
      </c>
      <c r="L376" s="478"/>
      <c r="M376" s="478"/>
      <c r="N376" s="478"/>
      <c r="O376" s="478"/>
      <c r="P376" s="478"/>
    </row>
    <row r="377" spans="1:16" ht="19.5" x14ac:dyDescent="0.3">
      <c r="A377" s="157"/>
      <c r="B377" s="53"/>
      <c r="C377" s="158" t="s">
        <v>16</v>
      </c>
      <c r="D377" s="514" t="s">
        <v>17</v>
      </c>
      <c r="E377" s="53"/>
      <c r="F377" s="53"/>
      <c r="G377" s="55"/>
      <c r="H377" s="160" t="s">
        <v>12</v>
      </c>
      <c r="I377" s="57"/>
      <c r="J377" s="57"/>
      <c r="K377" s="58"/>
      <c r="L377" s="161">
        <f ca="1">L378+L379</f>
        <v>12445400</v>
      </c>
      <c r="M377" s="161">
        <f ca="1">M378+M379</f>
        <v>0</v>
      </c>
      <c r="N377" s="161">
        <f ca="1">N378+N379</f>
        <v>0</v>
      </c>
      <c r="O377" s="161">
        <f ca="1">IF(L377&gt;0,N377*100/L377,0)</f>
        <v>0</v>
      </c>
      <c r="P377" s="161">
        <f ca="1">IF(M377&gt;0,N377*100/M377,0)</f>
        <v>0</v>
      </c>
    </row>
    <row r="378" spans="1:16" ht="18.75" x14ac:dyDescent="0.25">
      <c r="A378" s="157"/>
      <c r="B378" s="53"/>
      <c r="C378" s="53"/>
      <c r="D378" s="53"/>
      <c r="E378" s="334" t="s">
        <v>18</v>
      </c>
      <c r="F378" s="53"/>
      <c r="G378" s="55"/>
      <c r="H378" s="162" t="s">
        <v>12</v>
      </c>
      <c r="I378" s="57"/>
      <c r="J378" s="57"/>
      <c r="K378" s="58"/>
      <c r="L378" s="61">
        <f>L381+L384</f>
        <v>0</v>
      </c>
      <c r="M378" s="61">
        <f>M381+M384</f>
        <v>0</v>
      </c>
      <c r="N378" s="61">
        <f>N381+N384</f>
        <v>0</v>
      </c>
      <c r="O378" s="61">
        <f>IF(L378&gt;0,N378*100/L378,0)</f>
        <v>0</v>
      </c>
      <c r="P378" s="61">
        <f>IF(M378&gt;0,N378*100/M378,0)</f>
        <v>0</v>
      </c>
    </row>
    <row r="379" spans="1:16" ht="18.75" x14ac:dyDescent="0.25">
      <c r="A379" s="157"/>
      <c r="B379" s="53"/>
      <c r="C379" s="53"/>
      <c r="D379" s="53"/>
      <c r="E379" s="334" t="s">
        <v>19</v>
      </c>
      <c r="F379" s="53"/>
      <c r="G379" s="55"/>
      <c r="H379" s="162" t="s">
        <v>12</v>
      </c>
      <c r="I379" s="57"/>
      <c r="J379" s="57"/>
      <c r="K379" s="58"/>
      <c r="L379" s="61">
        <f ca="1">L382+L385</f>
        <v>12445400</v>
      </c>
      <c r="M379" s="61">
        <f ca="1">M382+M385</f>
        <v>0</v>
      </c>
      <c r="N379" s="61">
        <f ca="1">N382+N385</f>
        <v>0</v>
      </c>
      <c r="O379" s="61">
        <f ca="1">IF(L379&gt;0,N379*100/L379,0)</f>
        <v>0</v>
      </c>
      <c r="P379" s="61">
        <f ca="1">IF(M379&gt;0,N379*100/M379,0)</f>
        <v>0</v>
      </c>
    </row>
    <row r="380" spans="1:16" ht="18.75" x14ac:dyDescent="0.25">
      <c r="A380" s="157"/>
      <c r="B380" s="53"/>
      <c r="C380" s="53"/>
      <c r="D380" s="513" t="s">
        <v>20</v>
      </c>
      <c r="E380" s="53"/>
      <c r="F380" s="53"/>
      <c r="G380" s="55"/>
      <c r="H380" s="163" t="s">
        <v>12</v>
      </c>
      <c r="I380" s="164"/>
      <c r="J380" s="164"/>
      <c r="K380" s="165"/>
      <c r="L380" s="61">
        <f ca="1">L381+L382</f>
        <v>0</v>
      </c>
      <c r="M380" s="61">
        <f ca="1">M381+M382</f>
        <v>0</v>
      </c>
      <c r="N380" s="61">
        <f ca="1">N381+N382</f>
        <v>0</v>
      </c>
      <c r="O380" s="61">
        <f ca="1">IF(L380&gt;0,N380*100/L380,0)</f>
        <v>0</v>
      </c>
      <c r="P380" s="61">
        <f ca="1">IF(M380&gt;0,N380*100/M380,0)</f>
        <v>0</v>
      </c>
    </row>
    <row r="381" spans="1:16" ht="18.75" x14ac:dyDescent="0.25">
      <c r="A381" s="157"/>
      <c r="B381" s="53"/>
      <c r="C381" s="53"/>
      <c r="D381" s="53"/>
      <c r="E381" s="334" t="s">
        <v>34</v>
      </c>
      <c r="F381" s="53"/>
      <c r="G381" s="55"/>
      <c r="H381" s="163" t="s">
        <v>12</v>
      </c>
      <c r="I381" s="164"/>
      <c r="J381" s="164"/>
      <c r="K381" s="165"/>
      <c r="L381" s="61">
        <v>0</v>
      </c>
      <c r="M381" s="61">
        <v>0</v>
      </c>
      <c r="N381" s="61">
        <v>0</v>
      </c>
      <c r="O381" s="61">
        <f>IF(L381&gt;0,N381*100/L381,0)</f>
        <v>0</v>
      </c>
      <c r="P381" s="61">
        <f>IF(M381&gt;0,N381*100/M381,0)</f>
        <v>0</v>
      </c>
    </row>
    <row r="382" spans="1:16" ht="18.75" x14ac:dyDescent="0.25">
      <c r="A382" s="157"/>
      <c r="B382" s="53"/>
      <c r="C382" s="53"/>
      <c r="D382" s="53"/>
      <c r="E382" s="334" t="s">
        <v>35</v>
      </c>
      <c r="F382" s="53"/>
      <c r="G382" s="55"/>
      <c r="H382" s="163" t="s">
        <v>12</v>
      </c>
      <c r="I382" s="164"/>
      <c r="J382" s="164"/>
      <c r="K382" s="165"/>
      <c r="L382" s="61">
        <f ca="1">IFERROR(__xludf.DUMMYFUNCTION("IMPORTRANGE(""https://docs.google.com/spreadsheets/d/1-uDff_7J0KD5mKrp0Vvzr7lt3OU09vwQwhkpOPPYv2Y/edit?usp=sharing"",""งบพรบ!FM75"")"),0)</f>
        <v>0</v>
      </c>
      <c r="M382" s="61">
        <f ca="1">IFERROR(__xludf.DUMMYFUNCTION("IMPORTRANGE(""https://docs.google.com/spreadsheets/d/1-uDff_7J0KD5mKrp0Vvzr7lt3OU09vwQwhkpOPPYv2Y/edit?usp=sharing"",""งบพรบ!FR75"")"),0)</f>
        <v>0</v>
      </c>
      <c r="N382" s="61">
        <f ca="1">IFERROR(__xludf.DUMMYFUNCTION("IMPORTRANGE(""https://docs.google.com/spreadsheets/d/1-uDff_7J0KD5mKrp0Vvzr7lt3OU09vwQwhkpOPPYv2Y/edit?usp=sharing"",""งบพรบ!FT75"")"),0)</f>
        <v>0</v>
      </c>
      <c r="O382" s="61">
        <f ca="1">IF(L382&gt;0,N382*100/L382,0)</f>
        <v>0</v>
      </c>
      <c r="P382" s="61">
        <f ca="1">IF(M382&gt;0,N382*100/M382,0)</f>
        <v>0</v>
      </c>
    </row>
    <row r="383" spans="1:16" ht="18.75" x14ac:dyDescent="0.25">
      <c r="A383" s="157"/>
      <c r="B383" s="53"/>
      <c r="C383" s="53"/>
      <c r="D383" s="513" t="s">
        <v>21</v>
      </c>
      <c r="E383" s="53"/>
      <c r="F383" s="53"/>
      <c r="G383" s="55"/>
      <c r="H383" s="166" t="s">
        <v>12</v>
      </c>
      <c r="I383" s="164"/>
      <c r="J383" s="164"/>
      <c r="K383" s="165"/>
      <c r="L383" s="61">
        <f ca="1">L384+L385</f>
        <v>12445400</v>
      </c>
      <c r="M383" s="61">
        <f ca="1">M384+M385</f>
        <v>0</v>
      </c>
      <c r="N383" s="61">
        <f ca="1">N384+N385</f>
        <v>0</v>
      </c>
      <c r="O383" s="61">
        <f ca="1">IF(L383&gt;0,N383*100/L383,0)</f>
        <v>0</v>
      </c>
      <c r="P383" s="61">
        <f ca="1">IF(M383&gt;0,N383*100/M383,0)</f>
        <v>0</v>
      </c>
    </row>
    <row r="384" spans="1:16" ht="18.75" x14ac:dyDescent="0.25">
      <c r="A384" s="157"/>
      <c r="B384" s="53"/>
      <c r="C384" s="53"/>
      <c r="D384" s="53"/>
      <c r="E384" s="334" t="s">
        <v>18</v>
      </c>
      <c r="F384" s="53"/>
      <c r="G384" s="55"/>
      <c r="H384" s="163" t="s">
        <v>12</v>
      </c>
      <c r="I384" s="164"/>
      <c r="J384" s="164"/>
      <c r="K384" s="165"/>
      <c r="L384" s="61">
        <v>0</v>
      </c>
      <c r="M384" s="61">
        <v>0</v>
      </c>
      <c r="N384" s="61">
        <v>0</v>
      </c>
      <c r="O384" s="61">
        <f>IF(L384&gt;0,N384*100/L384,0)</f>
        <v>0</v>
      </c>
      <c r="P384" s="61">
        <f>IF(M384&gt;0,N384*100/M384,0)</f>
        <v>0</v>
      </c>
    </row>
    <row r="385" spans="1:16" ht="18.75" x14ac:dyDescent="0.25">
      <c r="A385" s="157"/>
      <c r="B385" s="53"/>
      <c r="C385" s="53"/>
      <c r="D385" s="53"/>
      <c r="E385" s="334" t="s">
        <v>19</v>
      </c>
      <c r="F385" s="53"/>
      <c r="G385" s="55"/>
      <c r="H385" s="166" t="s">
        <v>12</v>
      </c>
      <c r="I385" s="164"/>
      <c r="J385" s="164"/>
      <c r="K385" s="165"/>
      <c r="L385" s="61">
        <f ca="1">IFERROR(__xludf.DUMMYFUNCTION("IMPORTRANGE(""https://docs.google.com/spreadsheets/d/1-uDff_7J0KD5mKrp0Vvzr7lt3OU09vwQwhkpOPPYv2Y/edit?usp=sharing"",""งบพรบ!FP75"")"),12445400)</f>
        <v>12445400</v>
      </c>
      <c r="M385" s="61">
        <f ca="1">IFERROR(__xludf.DUMMYFUNCTION("IMPORTRANGE(""https://docs.google.com/spreadsheets/d/1-uDff_7J0KD5mKrp0Vvzr7lt3OU09vwQwhkpOPPYv2Y/edit?usp=sharing"",""งบพรบ!FS75"")"),0)</f>
        <v>0</v>
      </c>
      <c r="N385" s="61">
        <f ca="1">IFERROR(__xludf.DUMMYFUNCTION("IMPORTRANGE(""https://docs.google.com/spreadsheets/d/1-uDff_7J0KD5mKrp0Vvzr7lt3OU09vwQwhkpOPPYv2Y/edit?usp=sharing"",""งบพรบ!FU75"")"),0)</f>
        <v>0</v>
      </c>
      <c r="O385" s="61">
        <f ca="1">IF(L385&gt;0,N385*100/L385,0)</f>
        <v>0</v>
      </c>
      <c r="P385" s="61">
        <f ca="1">IF(M385&gt;0,N385*100/M385,0)</f>
        <v>0</v>
      </c>
    </row>
    <row r="386" spans="1:16" ht="19.5" x14ac:dyDescent="0.3">
      <c r="A386" s="167"/>
      <c r="B386" s="168"/>
      <c r="C386" s="158" t="s">
        <v>16</v>
      </c>
      <c r="D386" s="512" t="s">
        <v>36</v>
      </c>
      <c r="E386" s="170"/>
      <c r="F386" s="170"/>
      <c r="G386" s="171"/>
      <c r="H386" s="172"/>
      <c r="I386" s="164"/>
      <c r="J386" s="57"/>
      <c r="K386" s="58"/>
      <c r="L386" s="58"/>
      <c r="M386" s="58"/>
      <c r="N386" s="58"/>
      <c r="O386" s="165"/>
      <c r="P386" s="165"/>
    </row>
    <row r="387" spans="1:16" ht="18.75" x14ac:dyDescent="0.25">
      <c r="A387" s="274"/>
      <c r="B387" s="53"/>
      <c r="C387" s="278"/>
      <c r="D387" s="193" t="s">
        <v>149</v>
      </c>
      <c r="E387" s="168"/>
      <c r="F387" s="53"/>
      <c r="G387" s="55"/>
      <c r="H387" s="277" t="s">
        <v>9</v>
      </c>
      <c r="I387" s="194">
        <v>0</v>
      </c>
      <c r="J387" s="511">
        <v>0</v>
      </c>
      <c r="K387" s="61">
        <f>IF(I387&gt;0,J387*100/I387,0)</f>
        <v>0</v>
      </c>
      <c r="L387" s="58"/>
      <c r="M387" s="58"/>
      <c r="N387" s="58"/>
      <c r="O387" s="58"/>
      <c r="P387" s="58"/>
    </row>
    <row r="388" spans="1:16" ht="18.75" x14ac:dyDescent="0.25">
      <c r="A388" s="479"/>
      <c r="B388" s="71"/>
      <c r="C388" s="480"/>
      <c r="D388" s="481" t="s">
        <v>150</v>
      </c>
      <c r="E388" s="482"/>
      <c r="F388" s="71"/>
      <c r="G388" s="73"/>
      <c r="H388" s="483" t="s">
        <v>54</v>
      </c>
      <c r="I388" s="484">
        <v>0</v>
      </c>
      <c r="J388" s="510">
        <v>0</v>
      </c>
      <c r="K388" s="77">
        <f>IF(I388&gt;0,J388*100/I388,0)</f>
        <v>0</v>
      </c>
      <c r="L388" s="76"/>
      <c r="M388" s="76"/>
      <c r="N388" s="76"/>
      <c r="O388" s="76"/>
      <c r="P388" s="76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9C5E-5D75-41B5-825D-0050C38C77D1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161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1659580</v>
      </c>
      <c r="M18" s="709">
        <f ca="1">M19+M20</f>
        <v>1453222</v>
      </c>
      <c r="N18" s="709">
        <f ca="1">N19+N20</f>
        <v>674437.73</v>
      </c>
      <c r="O18" s="709">
        <f ca="1">IF(L18&gt;0,N18*100/L18,0)</f>
        <v>40.639061087745091</v>
      </c>
      <c r="P18" s="709">
        <f ca="1">IF(M18&gt;0,N18*100/M18,0)</f>
        <v>46.409821073449201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1659580</v>
      </c>
      <c r="M20" s="822">
        <f ca="1">M23+M26</f>
        <v>1453222</v>
      </c>
      <c r="N20" s="822">
        <f ca="1">N23+N26</f>
        <v>674437.73</v>
      </c>
      <c r="O20" s="822">
        <f ca="1">IF(L20&gt;0,N20*100/L20,0)</f>
        <v>40.639061087745091</v>
      </c>
      <c r="P20" s="822">
        <f ca="1">IF(M20&gt;0,N20*100/M20,0)</f>
        <v>46.409821073449201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1659580</v>
      </c>
      <c r="M21" s="425">
        <f ca="1">M22+M23</f>
        <v>1453222</v>
      </c>
      <c r="N21" s="425">
        <f ca="1">N22+N23</f>
        <v>674437.73</v>
      </c>
      <c r="O21" s="425">
        <f ca="1">IF(L21&gt;0,N21*100/L21,0)</f>
        <v>40.639061087745091</v>
      </c>
      <c r="P21" s="425">
        <f ca="1">IF(M21&gt;0,N21*100/M21,0)</f>
        <v>46.409821073449201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1659580</v>
      </c>
      <c r="M23" s="425">
        <f ca="1">M49+M64+M77+M99+M130+M144+M162+M191+M178+M271+M287+M308+M325+M338+M361+M382</f>
        <v>1453222</v>
      </c>
      <c r="N23" s="425">
        <f ca="1">N49+N64+N77+N99+N130+N144+N162+N191+N178+N271+N287+N308+N325+N338+N361+N382</f>
        <v>674437.73</v>
      </c>
      <c r="O23" s="425">
        <f ca="1">IF(L23&gt;0,N23*100/L23,0)</f>
        <v>40.639061087745091</v>
      </c>
      <c r="P23" s="425">
        <f ca="1">IF(M23&gt;0,N23*100/M23,0)</f>
        <v>46.409821073449201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1659580</v>
      </c>
      <c r="M40" s="814">
        <f ca="1">M44+M59+M72+M94+M125+M139+M157+M173+M186+M266+M282+M303+M320+M333+M356</f>
        <v>1453222</v>
      </c>
      <c r="N40" s="814">
        <f ca="1">N44+N59+N72+N94+N125+N139+N157+N173+N186+N266+N282+N303+N320+N333+N356</f>
        <v>674437.73</v>
      </c>
      <c r="O40" s="814">
        <f ca="1">IF(L40&gt;0,N40*100/L40,0)</f>
        <v>40.639061087745091</v>
      </c>
      <c r="P40" s="814">
        <f ca="1">IF(M40&gt;0,N40*100/M40,0)</f>
        <v>46.409821073449201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402550</v>
      </c>
      <c r="M44" s="799">
        <f ca="1">M45+M46</f>
        <v>412152</v>
      </c>
      <c r="N44" s="799">
        <f ca="1">N45+N46</f>
        <v>180632</v>
      </c>
      <c r="O44" s="799">
        <f ca="1">IF(L44&gt;0,N44*100/L44,0)</f>
        <v>44.871941373742395</v>
      </c>
      <c r="P44" s="799">
        <f ca="1">IF(M44&gt;0,N44*100/M44,0)</f>
        <v>43.826549428366235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402550</v>
      </c>
      <c r="M46" s="788">
        <f ca="1">M49+M52</f>
        <v>412152</v>
      </c>
      <c r="N46" s="788">
        <f ca="1">N49+N52</f>
        <v>180632</v>
      </c>
      <c r="O46" s="788">
        <f ca="1">IF(L46&gt;0,N46*100/L46,0)</f>
        <v>44.871941373742395</v>
      </c>
      <c r="P46" s="788">
        <f ca="1">IF(M46&gt;0,N46*100/M46,0)</f>
        <v>43.826549428366235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402550</v>
      </c>
      <c r="M47" s="425">
        <f ca="1">M48+M49</f>
        <v>412152</v>
      </c>
      <c r="N47" s="425">
        <f ca="1">N48+N49</f>
        <v>180632</v>
      </c>
      <c r="O47" s="425">
        <f ca="1">IF(L47&gt;0,N47*100/L47,0)</f>
        <v>44.871941373742395</v>
      </c>
      <c r="P47" s="425">
        <f ca="1">IF(M47&gt;0,N47*100/M47,0)</f>
        <v>43.826549428366235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IFERROR(__xludf.DUMMYFUNCTION("IMPORTRANGE(""https://docs.google.com/spreadsheets/d/1-uDff_7J0KD5mKrp0Vvzr7lt3OU09vwQwhkpOPPYv2Y/edit?usp=sharing"",""งบพรบ!P76"")"),402550)</f>
        <v>402550</v>
      </c>
      <c r="M49" s="425">
        <f ca="1">IFERROR(__xludf.DUMMYFUNCTION("IMPORTRANGE(""https://docs.google.com/spreadsheets/d/1-uDff_7J0KD5mKrp0Vvzr7lt3OU09vwQwhkpOPPYv2Y/edit?usp=sharing"",""งบพรบ!V76"")"),412152)</f>
        <v>412152</v>
      </c>
      <c r="N49" s="425">
        <f ca="1">IFERROR(__xludf.DUMMYFUNCTION("IMPORTRANGE(""https://docs.google.com/spreadsheets/d/1-uDff_7J0KD5mKrp0Vvzr7lt3OU09vwQwhkpOPPYv2Y/edit?usp=sharing"",""งบพรบ!Y76"")"),180632)</f>
        <v>180632</v>
      </c>
      <c r="O49" s="425">
        <f ca="1">IF(L49&gt;0,N49*100/L49,0)</f>
        <v>44.871941373742395</v>
      </c>
      <c r="P49" s="425">
        <f ca="1">IF(M49&gt;0,N49*100/M49,0)</f>
        <v>43.826549428366235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IFERROR(__xludf.DUMMYFUNCTION("IMPORTRANGE(""https://docs.google.com/spreadsheets/d/1-uDff_7J0KD5mKrp0Vvzr7lt3OU09vwQwhkpOPPYv2Y/edit?usp=sharing"",""งบพรบ!S76"")"),0)</f>
        <v>0</v>
      </c>
      <c r="M52" s="425">
        <f ca="1">IFERROR(__xludf.DUMMYFUNCTION("IMPORTRANGE(""https://docs.google.com/spreadsheets/d/1-uDff_7J0KD5mKrp0Vvzr7lt3OU09vwQwhkpOPPYv2Y/edit?usp=sharing"",""งบพรบ!W76"")"),0)</f>
        <v>0</v>
      </c>
      <c r="N52" s="425">
        <f ca="1">IFERROR(__xludf.DUMMYFUNCTION("IMPORTRANGE(""https://docs.google.com/spreadsheets/d/1-uDff_7J0KD5mKrp0Vvzr7lt3OU09vwQwhkpOPPYv2Y/edit?usp=sharing"",""งบพรบ!Z76"")"),0)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465900</v>
      </c>
      <c r="M59" s="768">
        <f ca="1">M60+M61</f>
        <v>410990</v>
      </c>
      <c r="N59" s="768">
        <f ca="1">N60+N61</f>
        <v>319354.63</v>
      </c>
      <c r="O59" s="768">
        <f ca="1">IF(L59&gt;0,N59*100/L59,0)</f>
        <v>68.545745868212066</v>
      </c>
      <c r="P59" s="768">
        <f ca="1">IF(M59&gt;0,N59*100/M59,0)</f>
        <v>77.703747049806566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465900</v>
      </c>
      <c r="M61" s="757">
        <f ca="1">M64+M67</f>
        <v>410990</v>
      </c>
      <c r="N61" s="757">
        <f ca="1">N64+N67</f>
        <v>319354.63</v>
      </c>
      <c r="O61" s="757">
        <f ca="1">IF(L61&gt;0,N61*100/L61,0)</f>
        <v>68.545745868212066</v>
      </c>
      <c r="P61" s="757">
        <f ca="1">IF(M61&gt;0,N61*100/M61,0)</f>
        <v>77.703747049806566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465900</v>
      </c>
      <c r="M62" s="425">
        <f ca="1">M63+M64</f>
        <v>410990</v>
      </c>
      <c r="N62" s="425">
        <f ca="1">N63+N64</f>
        <v>319354.63</v>
      </c>
      <c r="O62" s="425">
        <f ca="1">IF(L62&gt;0,N62*100/L62,0)</f>
        <v>68.545745868212066</v>
      </c>
      <c r="P62" s="425">
        <f ca="1">IF(M62&gt;0,N62*100/M62,0)</f>
        <v>77.703747049806566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IFERROR(__xludf.DUMMYFUNCTION("IMPORTRANGE(""https://docs.google.com/spreadsheets/d/1-uDff_7J0KD5mKrp0Vvzr7lt3OU09vwQwhkpOPPYv2Y/edit?usp=sharing"",""งบพรบ!AC76"")"),465900)</f>
        <v>465900</v>
      </c>
      <c r="M64" s="425">
        <f ca="1">IFERROR(__xludf.DUMMYFUNCTION("IMPORTRANGE(""https://docs.google.com/spreadsheets/d/1-uDff_7J0KD5mKrp0Vvzr7lt3OU09vwQwhkpOPPYv2Y/edit?usp=sharing"",""งบพรบ!AH76"")"),410990)</f>
        <v>410990</v>
      </c>
      <c r="N64" s="425">
        <f ca="1">IFERROR(__xludf.DUMMYFUNCTION("IMPORTRANGE(""https://docs.google.com/spreadsheets/d/1-uDff_7J0KD5mKrp0Vvzr7lt3OU09vwQwhkpOPPYv2Y/edit?usp=sharing"",""งบพรบ!AJ76"")"),319354.63)</f>
        <v>319354.63</v>
      </c>
      <c r="O64" s="425">
        <f ca="1">IF(L64&gt;0,N64*100/L64,0)</f>
        <v>68.545745868212066</v>
      </c>
      <c r="P64" s="425">
        <f ca="1">IF(M64&gt;0,N64*100/M64,0)</f>
        <v>77.703747049806566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IFERROR(__xludf.DUMMYFUNCTION("IMPORTRANGE(""https://docs.google.com/spreadsheets/d/1-uDff_7J0KD5mKrp0Vvzr7lt3OU09vwQwhkpOPPYv2Y/edit?usp=sharing"",""งบพรบ!AF76"")"),0)</f>
        <v>0</v>
      </c>
      <c r="M67" s="752">
        <f ca="1">IFERROR(__xludf.DUMMYFUNCTION("IMPORTRANGE(""https://docs.google.com/spreadsheets/d/1-uDff_7J0KD5mKrp0Vvzr7lt3OU09vwQwhkpOPPYv2Y/edit?usp=sharing"",""งบพรบ!AI76"")"),0)</f>
        <v>0</v>
      </c>
      <c r="N67" s="752">
        <f ca="1">IFERROR(__xludf.DUMMYFUNCTION("IMPORTRANGE(""https://docs.google.com/spreadsheets/d/1-uDff_7J0KD5mKrp0Vvzr7lt3OU09vwQwhkpOPPYv2Y/edit?usp=sharing"",""งบพรบ!AK76"")"),0)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IFERROR(__xludf.DUMMYFUNCTION("IMPORTRANGE(""https://docs.google.com/spreadsheets/d/1-uDff_7J0KD5mKrp0Vvzr7lt3OU09vwQwhkpOPPYv2Y/edit?usp=sharing"",""งบพรบ!AM76"")"),0)</f>
        <v>0</v>
      </c>
      <c r="M77" s="425">
        <f ca="1">IFERROR(__xludf.DUMMYFUNCTION("IMPORTRANGE(""https://docs.google.com/spreadsheets/d/1-uDff_7J0KD5mKrp0Vvzr7lt3OU09vwQwhkpOPPYv2Y/edit?usp=sharing"",""งบพรบ!AR76"")"),0)</f>
        <v>0</v>
      </c>
      <c r="N77" s="425">
        <f ca="1">IFERROR(__xludf.DUMMYFUNCTION("IMPORTRANGE(""https://docs.google.com/spreadsheets/d/1-uDff_7J0KD5mKrp0Vvzr7lt3OU09vwQwhkpOPPYv2Y/edit?usp=sharing"",""งบพรบ!AT76"")"),0)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IFERROR(__xludf.DUMMYFUNCTION("IMPORTRANGE(""https://docs.google.com/spreadsheets/d/1-uDff_7J0KD5mKrp0Vvzr7lt3OU09vwQwhkpOPPYv2Y/edit?usp=sharing"",""งบพรบ!AP76"")"),0)</f>
        <v>0</v>
      </c>
      <c r="M80" s="425">
        <f ca="1">IFERROR(__xludf.DUMMYFUNCTION("IMPORTRANGE(""https://docs.google.com/spreadsheets/d/1-uDff_7J0KD5mKrp0Vvzr7lt3OU09vwQwhkpOPPYv2Y/edit?usp=sharing"",""งบพรบ!AS76"")"),0)</f>
        <v>0</v>
      </c>
      <c r="N80" s="425">
        <f ca="1">IFERROR(__xludf.DUMMYFUNCTION("IMPORTRANGE(""https://docs.google.com/spreadsheets/d/1-uDff_7J0KD5mKrp0Vvzr7lt3OU09vwQwhkpOPPYv2Y/edit?usp=sharing"",""งบพรบ!AU76"")"),0)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IFERROR(__xludf.DUMMYFUNCTION("IMPORTRANGE(""https://docs.google.com/spreadsheets/d/1eHaY18a8A9IcSdp1K8H6x8fbOy06t2VsZHhMHf-1x7Y/edit?usp=sharing"",""แผน!H76"")"),0)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IFERROR(__xludf.DUMMYFUNCTION("IMPORTRANGE(""https://docs.google.com/spreadsheets/d/1eHaY18a8A9IcSdp1K8H6x8fbOy06t2VsZHhMHf-1x7Y/edit?usp=sharing"",""แผน!I76"")"),0)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IFERROR(__xludf.DUMMYFUNCTION("IMPORTRANGE(""https://docs.google.com/spreadsheets/d/1eHaY18a8A9IcSdp1K8H6x8fbOy06t2VsZHhMHf-1x7Y/edit?usp=sharing"",""แผน!F76"")"),0)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IFERROR(__xludf.DUMMYFUNCTION("IMPORTRANGE(""https://docs.google.com/spreadsheets/d/1eHaY18a8A9IcSdp1K8H6x8fbOy06t2VsZHhMHf-1x7Y/edit?usp=sharing"",""แผน!G76"")"),0)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IFERROR(__xludf.DUMMYFUNCTION("IMPORTRANGE(""https://docs.google.com/spreadsheets/d/1eHaY18a8A9IcSdp1K8H6x8fbOy06t2VsZHhMHf-1x7Y/edit?usp=sharing"",""แผน!D76"")"),0)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IFERROR(__xludf.DUMMYFUNCTION("IMPORTRANGE(""https://docs.google.com/spreadsheets/d/1eHaY18a8A9IcSdp1K8H6x8fbOy06t2VsZHhMHf-1x7Y/edit?usp=sharing"",""แผน!E76"")"),0)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IFERROR(__xludf.DUMMYFUNCTION("IMPORTRANGE(""https://docs.google.com/spreadsheets/d/1eHaY18a8A9IcSdp1K8H6x8fbOy06t2VsZHhMHf-1x7Y/edit?usp=sharing"",""แผน!J76"")"),0)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IFERROR(__xludf.DUMMYFUNCTION("IMPORTRANGE(""https://docs.google.com/spreadsheets/d/1-uDff_7J0KD5mKrp0Vvzr7lt3OU09vwQwhkpOPPYv2Y/edit?usp=sharing"",""งบพรบ!AW76"")"),0)</f>
        <v>0</v>
      </c>
      <c r="M99" s="425">
        <f ca="1">IFERROR(__xludf.DUMMYFUNCTION("IMPORTRANGE(""https://docs.google.com/spreadsheets/d/1-uDff_7J0KD5mKrp0Vvzr7lt3OU09vwQwhkpOPPYv2Y/edit?usp=sharing"",""งบพรบ!BB76"")"),0)</f>
        <v>0</v>
      </c>
      <c r="N99" s="425">
        <f ca="1">IFERROR(__xludf.DUMMYFUNCTION("IMPORTRANGE(""https://docs.google.com/spreadsheets/d/1-uDff_7J0KD5mKrp0Vvzr7lt3OU09vwQwhkpOPPYv2Y/edit?usp=sharing"",""งบพรบ!BD76"")"),0)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IFERROR(__xludf.DUMMYFUNCTION("IMPORTRANGE(""https://docs.google.com/spreadsheets/d/1-uDff_7J0KD5mKrp0Vvzr7lt3OU09vwQwhkpOPPYv2Y/edit?usp=sharing"",""งบพรบ!AZ76"")"),0)</f>
        <v>0</v>
      </c>
      <c r="M102" s="425">
        <f ca="1">IFERROR(__xludf.DUMMYFUNCTION("IMPORTRANGE(""https://docs.google.com/spreadsheets/d/1-uDff_7J0KD5mKrp0Vvzr7lt3OU09vwQwhkpOPPYv2Y/edit?usp=sharing"",""งบพรบ!BC76"")"),0)</f>
        <v>0</v>
      </c>
      <c r="N102" s="425">
        <f ca="1">IFERROR(__xludf.DUMMYFUNCTION("IMPORTRANGE(""https://docs.google.com/spreadsheets/d/1-uDff_7J0KD5mKrp0Vvzr7lt3OU09vwQwhkpOPPYv2Y/edit?usp=sharing"",""งบพรบ!BE76"")"),0)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IFERROR(__xludf.DUMMYFUNCTION("IMPORTRANGE(""https://docs.google.com/spreadsheets/d/1eHaY18a8A9IcSdp1K8H6x8fbOy06t2VsZHhMHf-1x7Y/edit?usp=sharing"",""แผน!N76"")"),0)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IFERROR(__xludf.DUMMYFUNCTION("IMPORTRANGE(""https://docs.google.com/spreadsheets/d/1eHaY18a8A9IcSdp1K8H6x8fbOy06t2VsZHhMHf-1x7Y/edit?usp=sharing"",""แผน!O76"")"),0)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IFERROR(__xludf.DUMMYFUNCTION("IMPORTRANGE(""https://docs.google.com/spreadsheets/d/1eHaY18a8A9IcSdp1K8H6x8fbOy06t2VsZHhMHf-1x7Y/edit?usp=sharing"",""แผน!R76"")"),0)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IFERROR(__xludf.DUMMYFUNCTION("IMPORTRANGE(""https://docs.google.com/spreadsheets/d/1-uDff_7J0KD5mKrp0Vvzr7lt3OU09vwQwhkpOPPYv2Y/edit?usp=sharing"",""งบพรบ!BG76"")"),0)</f>
        <v>0</v>
      </c>
      <c r="M130" s="728">
        <f ca="1">IFERROR(__xludf.DUMMYFUNCTION("IMPORTRANGE(""https://docs.google.com/spreadsheets/d/1-uDff_7J0KD5mKrp0Vvzr7lt3OU09vwQwhkpOPPYv2Y/edit?usp=sharing"",""งบพรบ!BL76"")"),0)</f>
        <v>0</v>
      </c>
      <c r="N130" s="728">
        <f ca="1">IFERROR(__xludf.DUMMYFUNCTION("IMPORTRANGE(""https://docs.google.com/spreadsheets/d/1-uDff_7J0KD5mKrp0Vvzr7lt3OU09vwQwhkpOPPYv2Y/edit?usp=sharing"",""งบพรบ!BN76"")"),0)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IFERROR(__xludf.DUMMYFUNCTION("IMPORTRANGE(""https://docs.google.com/spreadsheets/d/1-uDff_7J0KD5mKrp0Vvzr7lt3OU09vwQwhkpOPPYv2Y/edit?usp=sharing"",""งบพรบ!BJ76"")"),0)</f>
        <v>0</v>
      </c>
      <c r="M133" s="728">
        <f ca="1">IFERROR(__xludf.DUMMYFUNCTION("IMPORTRANGE(""https://docs.google.com/spreadsheets/d/1-uDff_7J0KD5mKrp0Vvzr7lt3OU09vwQwhkpOPPYv2Y/edit?usp=sharing"",""งบพรบ!BM76"")"),0)</f>
        <v>0</v>
      </c>
      <c r="N133" s="728">
        <f ca="1">IFERROR(__xludf.DUMMYFUNCTION("IMPORTRANGE(""https://docs.google.com/spreadsheets/d/1-uDff_7J0KD5mKrp0Vvzr7lt3OU09vwQwhkpOPPYv2Y/edit?usp=sharing"",""งบพรบ!BO76"")"),0)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20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2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111200</v>
      </c>
      <c r="M139" s="550">
        <f ca="1">M140+M141</f>
        <v>83600</v>
      </c>
      <c r="N139" s="550">
        <f ca="1">N140+N141</f>
        <v>25320</v>
      </c>
      <c r="O139" s="550">
        <f ca="1">IF(L139&gt;0,N139*100/L139,0)</f>
        <v>22.769784172661872</v>
      </c>
      <c r="P139" s="550">
        <f ca="1">IF(M139&gt;0,N139*100/M139,0)</f>
        <v>30.28708133971292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111200</v>
      </c>
      <c r="M141" s="425">
        <f ca="1">M144+M147</f>
        <v>83600</v>
      </c>
      <c r="N141" s="425">
        <f ca="1">N144+N147</f>
        <v>25320</v>
      </c>
      <c r="O141" s="425">
        <f ca="1">IF(L141&gt;0,N141*100/L141,0)</f>
        <v>22.769784172661872</v>
      </c>
      <c r="P141" s="425">
        <f ca="1">IF(M141&gt;0,N141*100/M141,0)</f>
        <v>30.28708133971292</v>
      </c>
    </row>
    <row r="142" spans="1:16" ht="18.75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111200</v>
      </c>
      <c r="M142" s="425">
        <f ca="1">M143+M144</f>
        <v>83600</v>
      </c>
      <c r="N142" s="425">
        <f ca="1">N143+N144</f>
        <v>25320</v>
      </c>
      <c r="O142" s="425">
        <f ca="1">IF(L142&gt;0,N142*100/L142,0)</f>
        <v>22.769784172661872</v>
      </c>
      <c r="P142" s="425">
        <f ca="1">IF(M142&gt;0,N142*100/M142,0)</f>
        <v>30.28708133971292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IFERROR(__xludf.DUMMYFUNCTION("IMPORTRANGE(""https://docs.google.com/spreadsheets/d/1-uDff_7J0KD5mKrp0Vvzr7lt3OU09vwQwhkpOPPYv2Y/edit?usp=sharing"",""งบพรบ!BQ76"")"),111200)</f>
        <v>111200</v>
      </c>
      <c r="M144" s="425">
        <f ca="1">IFERROR(__xludf.DUMMYFUNCTION("IMPORTRANGE(""https://docs.google.com/spreadsheets/d/1-uDff_7J0KD5mKrp0Vvzr7lt3OU09vwQwhkpOPPYv2Y/edit?usp=sharing"",""งบพรบ!BV76"")"),83600)</f>
        <v>83600</v>
      </c>
      <c r="N144" s="425">
        <f ca="1">IFERROR(__xludf.DUMMYFUNCTION("IMPORTRANGE(""https://docs.google.com/spreadsheets/d/1-uDff_7J0KD5mKrp0Vvzr7lt3OU09vwQwhkpOPPYv2Y/edit?usp=sharing"",""งบพรบ!BX76"")"),25320)</f>
        <v>25320</v>
      </c>
      <c r="O144" s="425">
        <f ca="1">IF(L144&gt;0,N144*100/L144,0)</f>
        <v>22.769784172661872</v>
      </c>
      <c r="P144" s="425">
        <f ca="1">IF(M144&gt;0,N144*100/M144,0)</f>
        <v>30.28708133971292</v>
      </c>
    </row>
    <row r="145" spans="1:16" ht="18.75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IFERROR(__xludf.DUMMYFUNCTION("IMPORTRANGE(""https://docs.google.com/spreadsheets/d/1-uDff_7J0KD5mKrp0Vvzr7lt3OU09vwQwhkpOPPYv2Y/edit?usp=sharing"",""งบพรบ!BT76"")"),0)</f>
        <v>0</v>
      </c>
      <c r="M147" s="425">
        <f ca="1">IFERROR(__xludf.DUMMYFUNCTION("IMPORTRANGE(""https://docs.google.com/spreadsheets/d/1-uDff_7J0KD5mKrp0Vvzr7lt3OU09vwQwhkpOPPYv2Y/edit?usp=sharing"",""งบพรบ!BW76"")"),0)</f>
        <v>0</v>
      </c>
      <c r="N147" s="425">
        <f ca="1">IFERROR(__xludf.DUMMYFUNCTION("IMPORTRANGE(""https://docs.google.com/spreadsheets/d/1-uDff_7J0KD5mKrp0Vvzr7lt3OU09vwQwhkpOPPYv2Y/edit?usp=sharing"",""งบพรบ!BY76"")"),0)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IFERROR(__xludf.DUMMYFUNCTION("IMPORTRANGE(""https://docs.google.com/spreadsheets/d/1eHaY18a8A9IcSdp1K8H6x8fbOy06t2VsZHhMHf-1x7Y/edit?usp=sharing"",""แผน!U76"")"),0)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IFERROR(__xludf.DUMMYFUNCTION("IMPORTRANGE(""https://docs.google.com/spreadsheets/d/1eHaY18a8A9IcSdp1K8H6x8fbOy06t2VsZHhMHf-1x7Y/edit?usp=sharing"",""แผน!V76"")"),0)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IFERROR(__xludf.DUMMYFUNCTION("IMPORTRANGE(""https://docs.google.com/spreadsheets/d/1eHaY18a8A9IcSdp1K8H6x8fbOy06t2VsZHhMHf-1x7Y/edit?usp=sharing"",""แผน!W76"")"),20)</f>
        <v>20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IFERROR(__xludf.DUMMYFUNCTION("IMPORTRANGE(""https://docs.google.com/spreadsheets/d/1eHaY18a8A9IcSdp1K8H6x8fbOy06t2VsZHhMHf-1x7Y/edit?usp=sharing"",""แผน!X76"")"),2)</f>
        <v>2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IFERROR(__xludf.DUMMYFUNCTION("IMPORTRANGE(""https://docs.google.com/spreadsheets/d/1eHaY18a8A9IcSdp1K8H6x8fbOy06t2VsZHhMHf-1x7Y/edit?usp=sharing"",""แผน!Y76"")"),0)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I167</f>
        <v>10</v>
      </c>
      <c r="J156" s="710">
        <f>J167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3000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IFERROR(__xludf.DUMMYFUNCTION("IMPORTRANGE(""https://docs.google.com/spreadsheets/d/1-uDff_7J0KD5mKrp0Vvzr7lt3OU09vwQwhkpOPPYv2Y/edit?usp=sharing"",""งบพรบ!CA76"")"),3000)</f>
        <v>3000</v>
      </c>
      <c r="M162" s="425">
        <f ca="1">IFERROR(__xludf.DUMMYFUNCTION("IMPORTRANGE(""https://docs.google.com/spreadsheets/d/1-uDff_7J0KD5mKrp0Vvzr7lt3OU09vwQwhkpOPPYv2Y/edit?usp=sharing"",""งบพรบ!CF76"")"),0)</f>
        <v>0</v>
      </c>
      <c r="N162" s="425">
        <f ca="1">IFERROR(__xludf.DUMMYFUNCTION("IMPORTRANGE(""https://docs.google.com/spreadsheets/d/1-uDff_7J0KD5mKrp0Vvzr7lt3OU09vwQwhkpOPPYv2Y/edit?usp=sharing"",""งบพรบ!CH76"")"),0)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IFERROR(__xludf.DUMMYFUNCTION("IMPORTRANGE(""https://docs.google.com/spreadsheets/d/1-uDff_7J0KD5mKrp0Vvzr7lt3OU09vwQwhkpOPPYv2Y/edit?usp=sharing"",""งบพรบ!CD76"")"),0)</f>
        <v>0</v>
      </c>
      <c r="M165" s="425">
        <f ca="1">IFERROR(__xludf.DUMMYFUNCTION("IMPORTRANGE(""https://docs.google.com/spreadsheets/d/1-uDff_7J0KD5mKrp0Vvzr7lt3OU09vwQwhkpOPPYv2Y/edit?usp=sharing"",""งบพรบ!CG76"")"),0)</f>
        <v>0</v>
      </c>
      <c r="N165" s="425">
        <f ca="1">IFERROR(__xludf.DUMMYFUNCTION("IMPORTRANGE(""https://docs.google.com/spreadsheets/d/1-uDff_7J0KD5mKrp0Vvzr7lt3OU09vwQwhkpOPPYv2Y/edit?usp=sharing"",""งบพรบ!CI76"")"),0)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IFERROR(__xludf.DUMMYFUNCTION("IMPORTRANGE(""https://docs.google.com/spreadsheets/d/1eHaY18a8A9IcSdp1K8H6x8fbOy06t2VsZHhMHf-1x7Y/edit?usp=sharing"",""แผน!Z76"")"),10)</f>
        <v>10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I167</f>
        <v>10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I167</f>
        <v>10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hidden="1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0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hidden="1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0</v>
      </c>
      <c r="M173" s="550">
        <f ca="1">M174+M175</f>
        <v>0</v>
      </c>
      <c r="N173" s="550">
        <f ca="1">N174+N175</f>
        <v>0</v>
      </c>
      <c r="O173" s="550">
        <f ca="1">IF(L173&gt;0,N173*100/L173,0)</f>
        <v>0</v>
      </c>
      <c r="P173" s="550">
        <f ca="1">IF(M173&gt;0,N173*100/M173,0)</f>
        <v>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hidden="1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0</v>
      </c>
      <c r="M175" s="425">
        <f ca="1">M178+M181</f>
        <v>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hidden="1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0</v>
      </c>
      <c r="M176" s="425">
        <f ca="1">M177+M178</f>
        <v>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hidden="1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IFERROR(__xludf.DUMMYFUNCTION("IMPORTRANGE(""https://docs.google.com/spreadsheets/d/1-uDff_7J0KD5mKrp0Vvzr7lt3OU09vwQwhkpOPPYv2Y/edit?usp=sharing"",""งบพรบ!CK76"")"),0)</f>
        <v>0</v>
      </c>
      <c r="M178" s="425">
        <f ca="1">IFERROR(__xludf.DUMMYFUNCTION("IMPORTRANGE(""https://docs.google.com/spreadsheets/d/1-uDff_7J0KD5mKrp0Vvzr7lt3OU09vwQwhkpOPPYv2Y/edit?usp=sharing"",""งบพรบ!CP76"")"),0)</f>
        <v>0</v>
      </c>
      <c r="N178" s="425">
        <f ca="1">IFERROR(__xludf.DUMMYFUNCTION("IMPORTRANGE(""https://docs.google.com/spreadsheets/d/1-uDff_7J0KD5mKrp0Vvzr7lt3OU09vwQwhkpOPPYv2Y/edit?usp=sharing"",""งบพรบ!CR76"")"),0)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hidden="1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hidden="1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IFERROR(__xludf.DUMMYFUNCTION("IMPORTRANGE(""https://docs.google.com/spreadsheets/d/1-uDff_7J0KD5mKrp0Vvzr7lt3OU09vwQwhkpOPPYv2Y/edit?usp=sharing"",""งบพรบ!CN76"")"),0)</f>
        <v>0</v>
      </c>
      <c r="M181" s="425">
        <f ca="1">IFERROR(__xludf.DUMMYFUNCTION("IMPORTRANGE(""https://docs.google.com/spreadsheets/d/1-uDff_7J0KD5mKrp0Vvzr7lt3OU09vwQwhkpOPPYv2Y/edit?usp=sharing"",""งบพรบ!CQ76"")"),0)</f>
        <v>0</v>
      </c>
      <c r="N181" s="425">
        <f ca="1">IFERROR(__xludf.DUMMYFUNCTION("IMPORTRANGE(""https://docs.google.com/spreadsheets/d/1-uDff_7J0KD5mKrp0Vvzr7lt3OU09vwQwhkpOPPYv2Y/edit?usp=sharing"",""งบพรบ!CS76"")"),0)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hidden="1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hidden="1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IFERROR(__xludf.DUMMYFUNCTION("IMPORTRANGE(""https://docs.google.com/spreadsheets/d/1eHaY18a8A9IcSdp1K8H6x8fbOy06t2VsZHhMHf-1x7Y/edit?usp=sharing"",""แผน!AA76"")"),0)</f>
        <v>0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55500</v>
      </c>
      <c r="M186" s="550">
        <f ca="1">M187+M188</f>
        <v>31500</v>
      </c>
      <c r="N186" s="550">
        <f ca="1">N187+N188</f>
        <v>0</v>
      </c>
      <c r="O186" s="550">
        <f ca="1">IF(L186&gt;0,N186*100/L186,0)</f>
        <v>0</v>
      </c>
      <c r="P186" s="550">
        <f ca="1">IF(M186&gt;0,N186*100/M186,0)</f>
        <v>0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55500</v>
      </c>
      <c r="M188" s="425">
        <f ca="1">M191+M194</f>
        <v>31500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55500</v>
      </c>
      <c r="M189" s="425">
        <f ca="1">M190+M191</f>
        <v>31500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IFERROR(__xludf.DUMMYFUNCTION("IMPORTRANGE(""https://docs.google.com/spreadsheets/d/1-uDff_7J0KD5mKrp0Vvzr7lt3OU09vwQwhkpOPPYv2Y/edit?usp=sharing"",""งบพรบ!CU76"")"),55500)</f>
        <v>55500</v>
      </c>
      <c r="M191" s="425">
        <f ca="1">IFERROR(__xludf.DUMMYFUNCTION("IMPORTRANGE(""https://docs.google.com/spreadsheets/d/1-uDff_7J0KD5mKrp0Vvzr7lt3OU09vwQwhkpOPPYv2Y/edit?usp=sharing"",""งบพรบ!CZ76"")"),31500)</f>
        <v>31500</v>
      </c>
      <c r="N191" s="425">
        <f ca="1">IFERROR(__xludf.DUMMYFUNCTION("IMPORTRANGE(""https://docs.google.com/spreadsheets/d/1-uDff_7J0KD5mKrp0Vvzr7lt3OU09vwQwhkpOPPYv2Y/edit?usp=sharing"",""งบพรบ!DB76"")"),0)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IFERROR(__xludf.DUMMYFUNCTION("IMPORTRANGE(""https://docs.google.com/spreadsheets/d/1-uDff_7J0KD5mKrp0Vvzr7lt3OU09vwQwhkpOPPYv2Y/edit?usp=sharing"",""งบพรบ!CX76"")"),0)</f>
        <v>0</v>
      </c>
      <c r="M194" s="425">
        <f ca="1">IFERROR(__xludf.DUMMYFUNCTION("IMPORTRANGE(""https://docs.google.com/spreadsheets/d/1-uDff_7J0KD5mKrp0Vvzr7lt3OU09vwQwhkpOPPYv2Y/edit?usp=sharing"",""งบพรบ!DA76"")"),0)</f>
        <v>0</v>
      </c>
      <c r="N194" s="425">
        <f ca="1">IFERROR(__xludf.DUMMYFUNCTION("IMPORTRANGE(""https://docs.google.com/spreadsheets/d/1-uDff_7J0KD5mKrp0Vvzr7lt3OU09vwQwhkpOPPYv2Y/edit?usp=sharing"",""งบพรบ!DC76"")"),0)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IFERROR(__xludf.DUMMYFUNCTION("IMPORTRANGE(""https://docs.google.com/spreadsheets/d/1eHaY18a8A9IcSdp1K8H6x8fbOy06t2VsZHhMHf-1x7Y/edit?usp=sharing"",""แผน!AB76"")"),6000)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IFERROR(__xludf.DUMMYFUNCTION("IMPORTRANGE(""https://docs.google.com/spreadsheets/d/1eHaY18a8A9IcSdp1K8H6x8fbOy06t2VsZHhMHf-1x7Y/edit?usp=sharing"",""แผน!AE76"")"),4)</f>
        <v>4</v>
      </c>
      <c r="J198" s="568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31000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IFERROR(__xludf.DUMMYFUNCTION("IMPORTRANGE(""https://docs.google.com/spreadsheets/d/1eHaY18a8A9IcSdp1K8H6x8fbOy06t2VsZHhMHf-1x7Y/edit?usp=sharing"",""แผน!AG76"")"),2000)</f>
        <v>2000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IFERROR(__xludf.DUMMYFUNCTION("IMPORTRANGE(""https://docs.google.com/spreadsheets/d/1eHaY18a8A9IcSdp1K8H6x8fbOy06t2VsZHhMHf-1x7Y/edit?usp=sharing"",""แผน!AH76"")"),0)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IFERROR(__xludf.DUMMYFUNCTION("IMPORTRANGE(""https://docs.google.com/spreadsheets/d/1eHaY18a8A9IcSdp1K8H6x8fbOy06t2VsZHhMHf-1x7Y/edit?usp=sharing"",""แผน!AI76"")"),16000)</f>
        <v>16000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IFERROR(__xludf.DUMMYFUNCTION("IMPORTRANGE(""https://docs.google.com/spreadsheets/d/1eHaY18a8A9IcSdp1K8H6x8fbOy06t2VsZHhMHf-1x7Y/edit?usp=sharing"",""แผน!AJ76"")"),13000)</f>
        <v>13000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IFERROR(__xludf.DUMMYFUNCTION("IMPORTRANGE(""https://docs.google.com/spreadsheets/d/1eHaY18a8A9IcSdp1K8H6x8fbOy06t2VsZHhMHf-1x7Y/edit?usp=sharing"",""แผน!AK76"")"),2)</f>
        <v>2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IFERROR(__xludf.DUMMYFUNCTION("IMPORTRANGE(""https://docs.google.com/spreadsheets/d/1eHaY18a8A9IcSdp1K8H6x8fbOy06t2VsZHhMHf-1x7Y/edit?usp=sharing"",""แผน!JX76"")"),2)</f>
        <v>2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IFERROR(__xludf.DUMMYFUNCTION("IMPORTRANGE(""https://docs.google.com/spreadsheets/d/1eHaY18a8A9IcSdp1K8H6x8fbOy06t2VsZHhMHf-1x7Y/edit?usp=sharing"",""แผน!JY76"")"),1)</f>
        <v>1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1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14000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IFERROR(__xludf.DUMMYFUNCTION("IMPORTRANGE(""https://docs.google.com/spreadsheets/d/1eHaY18a8A9IcSdp1K8H6x8fbOy06t2VsZHhMHf-1x7Y/edit?usp=sharing"",""แผน!AM76"")"),1000)</f>
        <v>1000</v>
      </c>
      <c r="M215" s="428"/>
      <c r="N215" s="683">
        <v>0</v>
      </c>
      <c r="O215" s="527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IFERROR(__xludf.DUMMYFUNCTION("IMPORTRANGE(""https://docs.google.com/spreadsheets/d/1eHaY18a8A9IcSdp1K8H6x8fbOy06t2VsZHhMHf-1x7Y/edit?usp=sharing"",""แผน!AN76"")"),5000)</f>
        <v>5000</v>
      </c>
      <c r="M216" s="428"/>
      <c r="N216" s="683">
        <v>0</v>
      </c>
      <c r="O216" s="527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IFERROR(__xludf.DUMMYFUNCTION("IMPORTRANGE(""https://docs.google.com/spreadsheets/d/1eHaY18a8A9IcSdp1K8H6x8fbOy06t2VsZHhMHf-1x7Y/edit?usp=sharing"",""แผน!AO76"")"),8000)</f>
        <v>8000</v>
      </c>
      <c r="M217" s="428"/>
      <c r="N217" s="683">
        <v>0</v>
      </c>
      <c r="O217" s="527"/>
      <c r="P217" s="428"/>
    </row>
    <row r="218" spans="1:16" ht="19.5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IFERROR(__xludf.DUMMYFUNCTION("IMPORTRANGE(""https://docs.google.com/spreadsheets/d/1eHaY18a8A9IcSdp1K8H6x8fbOy06t2VsZHhMHf-1x7Y/edit?usp=sharing"",""แผน!AP76"")"),1)</f>
        <v>1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IFERROR(__xludf.DUMMYFUNCTION("IMPORTRANGE(""https://docs.google.com/spreadsheets/d/1eHaY18a8A9IcSdp1K8H6x8fbOy06t2VsZHhMHf-1x7Y/edit?usp=sharing"",""แผน!AP76"")"),1)</f>
        <v>1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20000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IFERROR(__xludf.DUMMYFUNCTION("IMPORTRANGE(""https://docs.google.com/spreadsheets/d/1eHaY18a8A9IcSdp1K8H6x8fbOy06t2VsZHhMHf-1x7Y/edit?usp=sharing"",""แผน!AR76"")"),3000)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IFERROR(__xludf.DUMMYFUNCTION("IMPORTRANGE(""https://docs.google.com/spreadsheets/d/1eHaY18a8A9IcSdp1K8H6x8fbOy06t2VsZHhMHf-1x7Y/edit?usp=sharing"",""แผน!AS76"")"),1500)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IFERROR(__xludf.DUMMYFUNCTION("IMPORTRANGE(""https://docs.google.com/spreadsheets/d/1eHaY18a8A9IcSdp1K8H6x8fbOy06t2VsZHhMHf-1x7Y/edit?usp=sharing"",""แผน!AT76"")"),0)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IFERROR(__xludf.DUMMYFUNCTION("IMPORTRANGE(""https://docs.google.com/spreadsheets/d/1eHaY18a8A9IcSdp1K8H6x8fbOy06t2VsZHhMHf-1x7Y/edit?usp=sharing"",""แผน!AV76"")"),20000)</f>
        <v>20000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IFERROR(__xludf.DUMMYFUNCTION("IMPORTRANGE(""https://docs.google.com/spreadsheets/d/1eHaY18a8A9IcSdp1K8H6x8fbOy06t2VsZHhMHf-1x7Y/edit?usp=sharing"",""แผน!AV76"")"),20000)</f>
        <v>20000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IFERROR(__xludf.DUMMYFUNCTION("IMPORTRANGE(""https://docs.google.com/spreadsheets/d/1eHaY18a8A9IcSdp1K8H6x8fbOy06t2VsZHhMHf-1x7Y/edit?usp=sharing"",""แผน!AU76"")"),0)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IFERROR(__xludf.DUMMYFUNCTION("IMPORTRANGE(""https://docs.google.com/spreadsheets/d/1eHaY18a8A9IcSdp1K8H6x8fbOy06t2VsZHhMHf-1x7Y/edit?usp=sharing"",""แผน!AX76"")"),0)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IFERROR(__xludf.DUMMYFUNCTION("IMPORTRANGE(""https://docs.google.com/spreadsheets/d/1eHaY18a8A9IcSdp1K8H6x8fbOy06t2VsZHhMHf-1x7Y/edit?usp=sharing"",""แผน!AY76"")"),0)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IFERROR(__xludf.DUMMYFUNCTION("IMPORTRANGE(""https://docs.google.com/spreadsheets/d/1eHaY18a8A9IcSdp1K8H6x8fbOy06t2VsZHhMHf-1x7Y/edit?usp=sharing"",""แผน!AZ76"")"),0)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IFERROR(__xludf.DUMMYFUNCTION("IMPORTRANGE(""https://docs.google.com/spreadsheets/d/1eHaY18a8A9IcSdp1K8H6x8fbOy06t2VsZHhMHf-1x7Y/edit?usp=sharing"",""แผน!BA76"")"),0)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IFERROR(__xludf.DUMMYFUNCTION("IMPORTRANGE(""https://docs.google.com/spreadsheets/d/1eHaY18a8A9IcSdp1K8H6x8fbOy06t2VsZHhMHf-1x7Y/edit?usp=sharing"",""แผน!BG76"")"),0)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IFERROR(__xludf.DUMMYFUNCTION("IMPORTRANGE(""https://docs.google.com/spreadsheets/d/1eHaY18a8A9IcSdp1K8H6x8fbOy06t2VsZHhMHf-1x7Y/edit?usp=sharing"",""แผน!BB76"")"),0)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IFERROR(__xludf.DUMMYFUNCTION("IMPORTRANGE(""https://docs.google.com/spreadsheets/d/1eHaY18a8A9IcSdp1K8H6x8fbOy06t2VsZHhMHf-1x7Y/edit?usp=sharing"",""แผน!BC76"")"),0)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IFERROR(__xludf.DUMMYFUNCTION("IMPORTRANGE(""https://docs.google.com/spreadsheets/d/1eHaY18a8A9IcSdp1K8H6x8fbOy06t2VsZHhMHf-1x7Y/edit?usp=sharing"",""แผน!BD76"")"),0)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IFERROR(__xludf.DUMMYFUNCTION("IMPORTRANGE(""https://docs.google.com/spreadsheets/d/1eHaY18a8A9IcSdp1K8H6x8fbOy06t2VsZHhMHf-1x7Y/edit?usp=sharing"",""แผน!BE76"")"),0)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IFERROR(__xludf.DUMMYFUNCTION("IMPORTRANGE(""https://docs.google.com/spreadsheets/d/1eHaY18a8A9IcSdp1K8H6x8fbOy06t2VsZHhMHf-1x7Y/edit?usp=sharing"",""แผน!BH76"")"),0)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IFERROR(__xludf.DUMMYFUNCTION("IMPORTRANGE(""https://docs.google.com/spreadsheets/d/1-uDff_7J0KD5mKrp0Vvzr7lt3OU09vwQwhkpOPPYv2Y/edit?usp=sharing"",""งบพรบ!DE76"")"),0)</f>
        <v>0</v>
      </c>
      <c r="M271" s="544">
        <f ca="1">IFERROR(__xludf.DUMMYFUNCTION("IMPORTRANGE(""https://docs.google.com/spreadsheets/d/1-uDff_7J0KD5mKrp0Vvzr7lt3OU09vwQwhkpOPPYv2Y/edit?usp=sharing"",""งบพรบ!DJ76"")"),0)</f>
        <v>0</v>
      </c>
      <c r="N271" s="544">
        <f ca="1">IFERROR(__xludf.DUMMYFUNCTION("IMPORTRANGE(""https://docs.google.com/spreadsheets/d/1-uDff_7J0KD5mKrp0Vvzr7lt3OU09vwQwhkpOPPYv2Y/edit?usp=sharing"",""งบพรบ!DL76"")"),0)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IFERROR(__xludf.DUMMYFUNCTION("IMPORTRANGE(""https://docs.google.com/spreadsheets/d/1-uDff_7J0KD5mKrp0Vvzr7lt3OU09vwQwhkpOPPYv2Y/edit?usp=sharing"",""งบพรบ!DH76"")"),0)</f>
        <v>0</v>
      </c>
      <c r="M274" s="544">
        <f ca="1">IFERROR(__xludf.DUMMYFUNCTION("IMPORTRANGE(""https://docs.google.com/spreadsheets/d/1-uDff_7J0KD5mKrp0Vvzr7lt3OU09vwQwhkpOPPYv2Y/edit?usp=sharing"",""งบพรบ!DK76"")"),0)</f>
        <v>0</v>
      </c>
      <c r="N274" s="544">
        <f ca="1">IFERROR(__xludf.DUMMYFUNCTION("IMPORTRANGE(""https://docs.google.com/spreadsheets/d/1-uDff_7J0KD5mKrp0Vvzr7lt3OU09vwQwhkpOPPYv2Y/edit?usp=sharing"",""งบพรบ!DM76"")"),0)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IFERROR(__xludf.DUMMYFUNCTION("IMPORTRANGE(""https://docs.google.com/spreadsheets/d/1-uDff_7J0KD5mKrp0Vvzr7lt3OU09vwQwhkpOPPYv2Y/edit?usp=sharing"",""งบพรบ!DO76"")"),0)</f>
        <v>0</v>
      </c>
      <c r="M287" s="425">
        <f ca="1">IFERROR(__xludf.DUMMYFUNCTION("IMPORTRANGE(""https://docs.google.com/spreadsheets/d/1-uDff_7J0KD5mKrp0Vvzr7lt3OU09vwQwhkpOPPYv2Y/edit?usp=sharing"",""งบพรบ!DT76"")"),0)</f>
        <v>0</v>
      </c>
      <c r="N287" s="425">
        <f ca="1">IFERROR(__xludf.DUMMYFUNCTION("IMPORTRANGE(""https://docs.google.com/spreadsheets/d/1-uDff_7J0KD5mKrp0Vvzr7lt3OU09vwQwhkpOPPYv2Y/edit?usp=sharing"",""งบพรบ!DV76"")"),0)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IFERROR(__xludf.DUMMYFUNCTION("IMPORTRANGE(""https://docs.google.com/spreadsheets/d/1-uDff_7J0KD5mKrp0Vvzr7lt3OU09vwQwhkpOPPYv2Y/edit?usp=sharing"",""งบพรบ!DR76"")"),0)</f>
        <v>0</v>
      </c>
      <c r="M290" s="425">
        <f ca="1">IFERROR(__xludf.DUMMYFUNCTION("IMPORTRANGE(""https://docs.google.com/spreadsheets/d/1-uDff_7J0KD5mKrp0Vvzr7lt3OU09vwQwhkpOPPYv2Y/edit?usp=sharing"",""งบพรบ!DU76"")"),0)</f>
        <v>0</v>
      </c>
      <c r="N290" s="425">
        <f ca="1">IFERROR(__xludf.DUMMYFUNCTION("IMPORTRANGE(""https://docs.google.com/spreadsheets/d/1-uDff_7J0KD5mKrp0Vvzr7lt3OU09vwQwhkpOPPYv2Y/edit?usp=sharing"",""งบพรบ!DW76"")"),0)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IFERROR(__xludf.DUMMYFUNCTION("IMPORTRANGE(""https://docs.google.com/spreadsheets/d/1eHaY18a8A9IcSdp1K8H6x8fbOy06t2VsZHhMHf-1x7Y/edit?usp=sharing"",""แผน!EE76"")"),0)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IFERROR(__xludf.DUMMYFUNCTION("IMPORTRANGE(""https://docs.google.com/spreadsheets/d/1eHaY18a8A9IcSdp1K8H6x8fbOy06t2VsZHhMHf-1x7Y/edit?usp=sharing"",""แผน!ED76"")"),0)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IFERROR(__xludf.DUMMYFUNCTION("IMPORTRANGE(""https://docs.google.com/spreadsheets/d/1eHaY18a8A9IcSdp1K8H6x8fbOy06t2VsZHhMHf-1x7Y/edit?usp=sharing"",""แผน!ED76"")"),0)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IFERROR(__xludf.DUMMYFUNCTION("IMPORTRANGE(""https://docs.google.com/spreadsheets/d/1eHaY18a8A9IcSdp1K8H6x8fbOy06t2VsZHhMHf-1x7Y/edit?usp=sharing"",""แผน!ED76"")"),0)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IFERROR(__xludf.DUMMYFUNCTION("IMPORTRANGE(""https://docs.google.com/spreadsheets/d/1-uDff_7J0KD5mKrp0Vvzr7lt3OU09vwQwhkpOPPYv2Y/edit?usp=sharing"",""งบพรบ!DY76"")"),0)</f>
        <v>0</v>
      </c>
      <c r="M308" s="425">
        <f ca="1">IFERROR(__xludf.DUMMYFUNCTION("IMPORTRANGE(""https://docs.google.com/spreadsheets/d/1-uDff_7J0KD5mKrp0Vvzr7lt3OU09vwQwhkpOPPYv2Y/edit?usp=sharing"",""งบพรบ!ED76"")"),0)</f>
        <v>0</v>
      </c>
      <c r="N308" s="425">
        <f ca="1">IFERROR(__xludf.DUMMYFUNCTION("IMPORTRANGE(""https://docs.google.com/spreadsheets/d/1-uDff_7J0KD5mKrp0Vvzr7lt3OU09vwQwhkpOPPYv2Y/edit?usp=sharing"",""งบพรบ!EF76"")"),0)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IFERROR(__xludf.DUMMYFUNCTION("IMPORTRANGE(""https://docs.google.com/spreadsheets/d/1-uDff_7J0KD5mKrp0Vvzr7lt3OU09vwQwhkpOPPYv2Y/edit?usp=sharing"",""งบพรบ!EB76"")"),0)</f>
        <v>0</v>
      </c>
      <c r="M311" s="425">
        <f ca="1">IFERROR(__xludf.DUMMYFUNCTION("IMPORTRANGE(""https://docs.google.com/spreadsheets/d/1-uDff_7J0KD5mKrp0Vvzr7lt3OU09vwQwhkpOPPYv2Y/edit?usp=sharing"",""งบพรบ!EE76"")"),0)</f>
        <v>0</v>
      </c>
      <c r="N311" s="425">
        <f ca="1">IFERROR(__xludf.DUMMYFUNCTION("IMPORTRANGE(""https://docs.google.com/spreadsheets/d/1-uDff_7J0KD5mKrp0Vvzr7lt3OU09vwQwhkpOPPYv2Y/edit?usp=sharing"",""งบพรบ!EG76"")"),0)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IFERROR(__xludf.DUMMYFUNCTION("IMPORTRANGE(""https://docs.google.com/spreadsheets/d/1eHaY18a8A9IcSdp1K8H6x8fbOy06t2VsZHhMHf-1x7Y/edit?usp=sharing"",""แผน!EF76"")"),0)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IFERROR(__xludf.DUMMYFUNCTION("IMPORTRANGE(""https://docs.google.com/spreadsheets/d/1eHaY18a8A9IcSdp1K8H6x8fbOy06t2VsZHhMHf-1x7Y/edit?usp=sharing"",""แผน!EG76"")"),0)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IFERROR(__xludf.DUMMYFUNCTION("IMPORTRANGE(""https://docs.google.com/spreadsheets/d/1eHaY18a8A9IcSdp1K8H6x8fbOy06t2VsZHhMHf-1x7Y/edit?usp=sharing"",""แผน!EH76"")"),0)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IFERROR(__xludf.DUMMYFUNCTION("IMPORTRANGE(""https://docs.google.com/spreadsheets/d/1eHaY18a8A9IcSdp1K8H6x8fbOy06t2VsZHhMHf-1x7Y/edit?usp=sharing"",""แผน!EI76"")"),0)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1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20000</v>
      </c>
      <c r="M320" s="550">
        <f ca="1">M321+M322</f>
        <v>20000</v>
      </c>
      <c r="N320" s="550">
        <f ca="1">N321+N322</f>
        <v>5984.1</v>
      </c>
      <c r="O320" s="550">
        <f ca="1">IF(L320&gt;0,N320*100/L320,0)</f>
        <v>29.920500000000001</v>
      </c>
      <c r="P320" s="550">
        <f ca="1">IF(M320&gt;0,N320*100/M320,0)</f>
        <v>29.920500000000001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20000</v>
      </c>
      <c r="M322" s="425">
        <f ca="1">M325+M328</f>
        <v>20000</v>
      </c>
      <c r="N322" s="425">
        <f ca="1">N325+N328</f>
        <v>5984.1</v>
      </c>
      <c r="O322" s="425">
        <f ca="1">IF(L322&gt;0,N322*100/L322,0)</f>
        <v>29.920500000000001</v>
      </c>
      <c r="P322" s="425">
        <f ca="1">IF(M322&gt;0,N322*100/M322,0)</f>
        <v>29.920500000000001</v>
      </c>
    </row>
    <row r="323" spans="1:16" ht="18.75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20000</v>
      </c>
      <c r="M323" s="425">
        <f ca="1">M324+M325</f>
        <v>20000</v>
      </c>
      <c r="N323" s="425">
        <f ca="1">N324+N325</f>
        <v>5984.1</v>
      </c>
      <c r="O323" s="425">
        <f ca="1">IF(L323&gt;0,N323*100/L323,0)</f>
        <v>29.920500000000001</v>
      </c>
      <c r="P323" s="425">
        <f ca="1">IF(M323&gt;0,N323*100/M323,0)</f>
        <v>29.920500000000001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IFERROR(__xludf.DUMMYFUNCTION("IMPORTRANGE(""https://docs.google.com/spreadsheets/d/1-uDff_7J0KD5mKrp0Vvzr7lt3OU09vwQwhkpOPPYv2Y/edit?usp=sharing"",""งบพรบ!EI76"")"),20000)</f>
        <v>20000</v>
      </c>
      <c r="M325" s="425">
        <f ca="1">IFERROR(__xludf.DUMMYFUNCTION("IMPORTRANGE(""https://docs.google.com/spreadsheets/d/1-uDff_7J0KD5mKrp0Vvzr7lt3OU09vwQwhkpOPPYv2Y/edit?usp=sharing"",""งบพรบ!EN76"")"),20000)</f>
        <v>20000</v>
      </c>
      <c r="N325" s="425">
        <f ca="1">IFERROR(__xludf.DUMMYFUNCTION("IMPORTRANGE(""https://docs.google.com/spreadsheets/d/1-uDff_7J0KD5mKrp0Vvzr7lt3OU09vwQwhkpOPPYv2Y/edit?usp=sharing"",""งบพรบ!EP76"")"),5984.1)</f>
        <v>5984.1</v>
      </c>
      <c r="O325" s="425">
        <f ca="1">IF(L325&gt;0,N325*100/L325,0)</f>
        <v>29.920500000000001</v>
      </c>
      <c r="P325" s="425">
        <f ca="1">IF(M325&gt;0,N325*100/M325,0)</f>
        <v>29.920500000000001</v>
      </c>
    </row>
    <row r="326" spans="1:16" ht="18.75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IFERROR(__xludf.DUMMYFUNCTION("IMPORTRANGE(""https://docs.google.com/spreadsheets/d/1-uDff_7J0KD5mKrp0Vvzr7lt3OU09vwQwhkpOPPYv2Y/edit?usp=sharing"",""งบพรบ!EL76"")"),0)</f>
        <v>0</v>
      </c>
      <c r="M328" s="425">
        <f ca="1">IFERROR(__xludf.DUMMYFUNCTION("IMPORTRANGE(""https://docs.google.com/spreadsheets/d/1-uDff_7J0KD5mKrp0Vvzr7lt3OU09vwQwhkpOPPYv2Y/edit?usp=sharing"",""งบพรบ!EO76"")"),0)</f>
        <v>0</v>
      </c>
      <c r="N328" s="425">
        <f ca="1">IFERROR(__xludf.DUMMYFUNCTION("IMPORTRANGE(""https://docs.google.com/spreadsheets/d/1-uDff_7J0KD5mKrp0Vvzr7lt3OU09vwQwhkpOPPYv2Y/edit?usp=sharing"",""งบพรบ!EQ76"")"),0)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IFERROR(__xludf.DUMMYFUNCTION("IMPORTRANGE(""https://docs.google.com/spreadsheets/d/1eHaY18a8A9IcSdp1K8H6x8fbOy06t2VsZHhMHf-1x7Y/edit?usp=sharing"",""แผน!EJ76"")"),1)</f>
        <v>1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2060</v>
      </c>
      <c r="J332" s="402">
        <f ca="1">J344+J347+J348+J349+J353</f>
        <v>3556</v>
      </c>
      <c r="K332" s="403">
        <f ca="1">IF(I332&gt;0,J332*100/I332,0)</f>
        <v>172.62135922330097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109000</v>
      </c>
      <c r="M333" s="550">
        <f ca="1">M334+M335</f>
        <v>88150</v>
      </c>
      <c r="N333" s="550">
        <f ca="1">N334+N335</f>
        <v>28700</v>
      </c>
      <c r="O333" s="550">
        <f ca="1">IF(L333&gt;0,N333*100/L333,0)</f>
        <v>26.330275229357799</v>
      </c>
      <c r="P333" s="550">
        <f ca="1">IF(M333&gt;0,N333*100/M333,0)</f>
        <v>32.558139534883722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109000</v>
      </c>
      <c r="M335" s="425">
        <f ca="1">M338+M341</f>
        <v>88150</v>
      </c>
      <c r="N335" s="425">
        <f ca="1">N338+N341</f>
        <v>28700</v>
      </c>
      <c r="O335" s="425">
        <f ca="1">IF(L335&gt;0,N335*100/L335,0)</f>
        <v>26.330275229357799</v>
      </c>
      <c r="P335" s="425">
        <f ca="1">IF(M335&gt;0,N335*100/M335,0)</f>
        <v>32.558139534883722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109000</v>
      </c>
      <c r="M336" s="425">
        <f ca="1">M337+M338</f>
        <v>88150</v>
      </c>
      <c r="N336" s="425">
        <f ca="1">N337+N338</f>
        <v>28700</v>
      </c>
      <c r="O336" s="425">
        <f ca="1">IF(L336&gt;0,N336*100/L336,0)</f>
        <v>26.330275229357799</v>
      </c>
      <c r="P336" s="425">
        <f ca="1">IF(M336&gt;0,N336*100/M336,0)</f>
        <v>32.558139534883722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IFERROR(__xludf.DUMMYFUNCTION("IMPORTRANGE(""https://docs.google.com/spreadsheets/d/1-uDff_7J0KD5mKrp0Vvzr7lt3OU09vwQwhkpOPPYv2Y/edit?usp=sharing"",""งบพรบ!ES76"")"),109000)</f>
        <v>109000</v>
      </c>
      <c r="M338" s="425">
        <f ca="1">IFERROR(__xludf.DUMMYFUNCTION("IMPORTRANGE(""https://docs.google.com/spreadsheets/d/1-uDff_7J0KD5mKrp0Vvzr7lt3OU09vwQwhkpOPPYv2Y/edit?usp=sharing"",""งบพรบ!EX76"")"),88150)</f>
        <v>88150</v>
      </c>
      <c r="N338" s="425">
        <f ca="1">IFERROR(__xludf.DUMMYFUNCTION("IMPORTRANGE(""https://docs.google.com/spreadsheets/d/1-uDff_7J0KD5mKrp0Vvzr7lt3OU09vwQwhkpOPPYv2Y/edit?usp=sharing"",""งบพรบ!EZ76"")"),28700)</f>
        <v>28700</v>
      </c>
      <c r="O338" s="425">
        <f ca="1">IF(L338&gt;0,N338*100/L338,0)</f>
        <v>26.330275229357799</v>
      </c>
      <c r="P338" s="425">
        <f ca="1">IF(M338&gt;0,N338*100/M338,0)</f>
        <v>32.558139534883722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IFERROR(__xludf.DUMMYFUNCTION("IMPORTRANGE(""https://docs.google.com/spreadsheets/d/1-uDff_7J0KD5mKrp0Vvzr7lt3OU09vwQwhkpOPPYv2Y/edit?usp=sharing"",""งบพรบ!EV76"")"),0)</f>
        <v>0</v>
      </c>
      <c r="M341" s="425">
        <f ca="1">IFERROR(__xludf.DUMMYFUNCTION("IMPORTRANGE(""https://docs.google.com/spreadsheets/d/1-uDff_7J0KD5mKrp0Vvzr7lt3OU09vwQwhkpOPPYv2Y/edit?usp=sharing"",""งบพรบ!EY76"")"),0)</f>
        <v>0</v>
      </c>
      <c r="N341" s="425">
        <f ca="1">IFERROR(__xludf.DUMMYFUNCTION("IMPORTRANGE(""https://docs.google.com/spreadsheets/d/1-uDff_7J0KD5mKrp0Vvzr7lt3OU09vwQwhkpOPPYv2Y/edit?usp=sharing"",""งบพรบ!FA76"")"),0)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1998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IFERROR(__xludf.DUMMYFUNCTION("IMPORTRANGE(""https://docs.google.com/spreadsheets/d/1eHaY18a8A9IcSdp1K8H6x8fbOy06t2VsZHhMHf-1x7Y/edit?usp=sharing"",""แผน!EK76"")"),2060)</f>
        <v>2060</v>
      </c>
      <c r="J344" s="424">
        <f ca="1">IFERROR(__xludf.DUMMYFUNCTION("IMPORTRANGE(""https://docs.google.com/spreadsheets/d/1awYsYK3VOup2i3Pq_Yjnu8DRu_mYwSBnCR2QPthd0rU/edit?usp=sharing"",""ศูนย์ยกเว้นโฉนด!D76"")"),1996)</f>
        <v>1996</v>
      </c>
      <c r="K344" s="425">
        <f ca="1">IF(I344&gt;0,J344*100/I344,0)</f>
        <v>96.893203883495147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IFERROR(__xludf.DUMMYFUNCTION("IMPORTRANGE(""https://docs.google.com/spreadsheets/d/1eHaY18a8A9IcSdp1K8H6x8fbOy06t2VsZHhMHf-1x7Y/edit?usp=sharing"",""แผน!EL76"")"),3)</f>
        <v>3</v>
      </c>
      <c r="J346" s="424">
        <f ca="1">IFERROR(__xludf.DUMMYFUNCTION("IMPORTRANGE(""https://docs.google.com/spreadsheets/d/1awYsYK3VOup2i3Pq_Yjnu8DRu_mYwSBnCR2QPthd0rU/edit?usp=sharing"",""ศูนย์รวม!E76"")"),0)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IFERROR(__xludf.DUMMYFUNCTION("IMPORTRANGE(""https://docs.google.com/spreadsheets/d/1awYsYK3VOup2i3Pq_Yjnu8DRu_mYwSBnCR2QPthd0rU/edit?usp=sharing"",""ศูนย์ยกเว้นโฉนด!F76"")"),0)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IFERROR(__xludf.DUMMYFUNCTION("IMPORTRANGE(""https://docs.google.com/spreadsheets/d/1awYsYK3VOup2i3Pq_Yjnu8DRu_mYwSBnCR2QPthd0rU/edit?usp=sharing"",""ศูนย์ยกเว้นโฉนด!G76"")"),2)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IFERROR(__xludf.DUMMYFUNCTION("IMPORTRANGE(""https://docs.google.com/spreadsheets/d/1awYsYK3VOup2i3Pq_Yjnu8DRu_mYwSBnCR2QPthd0rU/edit?usp=sharing"",""ศูนย์ยกเว้นโฉนด!H76"")"),0)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1795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IFERROR(__xludf.DUMMYFUNCTION("IMPORTRANGE(""https://docs.google.com/spreadsheets/d/1awYsYK3VOup2i3Pq_Yjnu8DRu_mYwSBnCR2QPthd0rU/edit?usp=sharing"",""โฉนดM3!G76"")"),237)</f>
        <v>237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IFERROR(__xludf.DUMMYFUNCTION("IMPORTRANGE(""https://docs.google.com/spreadsheets/d/1awYsYK3VOup2i3Pq_Yjnu8DRu_mYwSBnCR2QPthd0rU/edit?usp=sharing"",""โฉนดM3!H76"")"),1558)</f>
        <v>1558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492430</v>
      </c>
      <c r="M356" s="550">
        <f ca="1">M357+M358</f>
        <v>406830</v>
      </c>
      <c r="N356" s="550">
        <f ca="1">N357+N358</f>
        <v>114447</v>
      </c>
      <c r="O356" s="550">
        <f ca="1">IF(L356&gt;0,N356*100/L356,0)</f>
        <v>23.241272871271043</v>
      </c>
      <c r="P356" s="550">
        <f ca="1">IF(M356&gt;0,N356*100/M356,0)</f>
        <v>28.131406238477989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492430</v>
      </c>
      <c r="M358" s="425">
        <f ca="1">M361+M364</f>
        <v>406830</v>
      </c>
      <c r="N358" s="425">
        <f ca="1">N361+N364</f>
        <v>114447</v>
      </c>
      <c r="O358" s="425">
        <f ca="1">IF(L358&gt;0,N358*100/L358,0)</f>
        <v>23.241272871271043</v>
      </c>
      <c r="P358" s="425">
        <f ca="1">IF(M358&gt;0,N358*100/M358,0)</f>
        <v>28.131406238477989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492430</v>
      </c>
      <c r="M359" s="425">
        <f ca="1">M360+M361</f>
        <v>406830</v>
      </c>
      <c r="N359" s="425">
        <f ca="1">N360+N361</f>
        <v>114447</v>
      </c>
      <c r="O359" s="425">
        <f ca="1">IF(L359&gt;0,N359*100/L359,0)</f>
        <v>23.241272871271043</v>
      </c>
      <c r="P359" s="425">
        <f ca="1">IF(M359&gt;0,N359*100/M359,0)</f>
        <v>28.131406238477989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IFERROR(__xludf.DUMMYFUNCTION("IMPORTRANGE(""https://docs.google.com/spreadsheets/d/1-uDff_7J0KD5mKrp0Vvzr7lt3OU09vwQwhkpOPPYv2Y/edit?usp=sharing"",""งบพรบ!FC76"")"),492430)</f>
        <v>492430</v>
      </c>
      <c r="M361" s="425">
        <f ca="1">IFERROR(__xludf.DUMMYFUNCTION("IMPORTRANGE(""https://docs.google.com/spreadsheets/d/1-uDff_7J0KD5mKrp0Vvzr7lt3OU09vwQwhkpOPPYv2Y/edit?usp=sharing"",""งบพรบ!FH76"")"),406830)</f>
        <v>406830</v>
      </c>
      <c r="N361" s="425">
        <f ca="1">IFERROR(__xludf.DUMMYFUNCTION("IMPORTRANGE(""https://docs.google.com/spreadsheets/d/1-uDff_7J0KD5mKrp0Vvzr7lt3OU09vwQwhkpOPPYv2Y/edit?usp=sharing"",""งบพรบ!FJ76"")"),114447)</f>
        <v>114447</v>
      </c>
      <c r="O361" s="425">
        <f ca="1">IF(L361&gt;0,N361*100/L361,0)</f>
        <v>23.241272871271043</v>
      </c>
      <c r="P361" s="425">
        <f ca="1">IF(M361&gt;0,N361*100/M361,0)</f>
        <v>28.131406238477989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IFERROR(__xludf.DUMMYFUNCTION("IMPORTRANGE(""https://docs.google.com/spreadsheets/d/1-uDff_7J0KD5mKrp0Vvzr7lt3OU09vwQwhkpOPPYv2Y/edit?usp=sharing"",""งบพรบ!FF76"")"),0)</f>
        <v>0</v>
      </c>
      <c r="M364" s="425">
        <f ca="1">IFERROR(__xludf.DUMMYFUNCTION("IMPORTRANGE(""https://docs.google.com/spreadsheets/d/1-uDff_7J0KD5mKrp0Vvzr7lt3OU09vwQwhkpOPPYv2Y/edit?usp=sharing"",""งบพรบ!FI76"")"),0)</f>
        <v>0</v>
      </c>
      <c r="N364" s="425">
        <f ca="1">IFERROR(__xludf.DUMMYFUNCTION("IMPORTRANGE(""https://docs.google.com/spreadsheets/d/1-uDff_7J0KD5mKrp0Vvzr7lt3OU09vwQwhkpOPPYv2Y/edit?usp=sharing"",""งบพรบ!FK76"")"),0)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179</v>
      </c>
      <c r="J365" s="438">
        <f ca="1">J371</f>
        <v>80</v>
      </c>
      <c r="K365" s="439">
        <f ca="1">IF(I365&gt;0,J365*100/I365,0)</f>
        <v>44.692737430167597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IFERROR(__xludf.DUMMYFUNCTION("IMPORTRANGE(""https://docs.google.com/spreadsheets/d/1tdoBKaGub7dwA3U6UFTqxio9LNnvDCQjHKmttSEBsFQ/edit?usp=sharing"",""จัดที่ดิน!AB76"")"),70)</f>
        <v>70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IFERROR(__xludf.DUMMYFUNCTION("IMPORTRANGE(""https://docs.google.com/spreadsheets/d/1eHaY18a8A9IcSdp1K8H6x8fbOy06t2VsZHhMHf-1x7Y/edit?usp=sharing"",""แผน!EW76"")"),1625)</f>
        <v>1625</v>
      </c>
      <c r="J368" s="528">
        <f ca="1">IFERROR(__xludf.DUMMYFUNCTION("IMPORTRANGE(""https://docs.google.com/spreadsheets/d/1tdoBKaGub7dwA3U6UFTqxio9LNnvDCQjHKmttSEBsFQ/edit?usp=sharing"",""จัดที่ดิน!AC76"")"),544.47)</f>
        <v>544.47</v>
      </c>
      <c r="K368" s="425">
        <f ca="1">IF(I368&gt;0,J368*100/I368,0)</f>
        <v>33.505846153846157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IFERROR(__xludf.DUMMYFUNCTION("IMPORTRANGE(""https://docs.google.com/spreadsheets/d/1eHaY18a8A9IcSdp1K8H6x8fbOy06t2VsZHhMHf-1x7Y/edit?usp=sharing"",""แผน!EX76"")"),280)</f>
        <v>280</v>
      </c>
      <c r="J369" s="424">
        <f ca="1">IFERROR(__xludf.DUMMYFUNCTION("IMPORTRANGE(""https://docs.google.com/spreadsheets/d/1tdoBKaGub7dwA3U6UFTqxio9LNnvDCQjHKmttSEBsFQ/edit?usp=sharing"",""จัดที่ดิน!AD76"")"),119)</f>
        <v>119</v>
      </c>
      <c r="K369" s="425">
        <f ca="1">IF(I369&gt;0,J369*100/I369,0)</f>
        <v>42.5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IFERROR(__xludf.DUMMYFUNCTION("IMPORTRANGE(""https://docs.google.com/spreadsheets/d/1tdoBKaGub7dwA3U6UFTqxio9LNnvDCQjHKmttSEBsFQ/edit?usp=sharing"",""จัดที่ดิน!AE76"")"),1466.45)</f>
        <v>1466.45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IFERROR(__xludf.DUMMYFUNCTION("IMPORTRANGE(""https://docs.google.com/spreadsheets/d/1eHaY18a8A9IcSdp1K8H6x8fbOy06t2VsZHhMHf-1x7Y/edit?usp=sharing"",""แผน!EY76"")"),179)</f>
        <v>179</v>
      </c>
      <c r="J371" s="424">
        <f ca="1">IFERROR(__xludf.DUMMYFUNCTION("IMPORTRANGE(""https://docs.google.com/spreadsheets/d/1tdoBKaGub7dwA3U6UFTqxio9LNnvDCQjHKmttSEBsFQ/edit?usp=sharing"",""จัดที่ดิน!AF76"")"),80)</f>
        <v>80</v>
      </c>
      <c r="K371" s="425">
        <f ca="1">IF(I371&gt;0,J371*100/I371,0)</f>
        <v>44.692737430167597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IFERROR(__xludf.DUMMYFUNCTION("IMPORTRANGE(""https://docs.google.com/spreadsheets/d/1tdoBKaGub7dwA3U6UFTqxio9LNnvDCQjHKmttSEBsFQ/edit?usp=sharing"",""จัดที่ดิน!AG76"")"),1099.7)</f>
        <v>1099.7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IFERROR(__xludf.DUMMYFUNCTION("IMPORTRANGE(""https://docs.google.com/spreadsheets/d/1-uDff_7J0KD5mKrp0Vvzr7lt3OU09vwQwhkpOPPYv2Y/edit?usp=sharing"",""งบพรบ!FM76"")"),0)</f>
        <v>0</v>
      </c>
      <c r="M382" s="544">
        <f ca="1">IFERROR(__xludf.DUMMYFUNCTION("IMPORTRANGE(""https://docs.google.com/spreadsheets/d/1-uDff_7J0KD5mKrp0Vvzr7lt3OU09vwQwhkpOPPYv2Y/edit?usp=sharing"",""งบพรบ!FR76"")"),0)</f>
        <v>0</v>
      </c>
      <c r="N382" s="544">
        <f ca="1">IFERROR(__xludf.DUMMYFUNCTION("IMPORTRANGE(""https://docs.google.com/spreadsheets/d/1-uDff_7J0KD5mKrp0Vvzr7lt3OU09vwQwhkpOPPYv2Y/edit?usp=sharing"",""งบพรบ!FT76"")"),0)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IFERROR(__xludf.DUMMYFUNCTION("IMPORTRANGE(""https://docs.google.com/spreadsheets/d/1-uDff_7J0KD5mKrp0Vvzr7lt3OU09vwQwhkpOPPYv2Y/edit?usp=sharing"",""งบพรบ!FP76"")"),0)</f>
        <v>0</v>
      </c>
      <c r="M385" s="544">
        <f ca="1">IFERROR(__xludf.DUMMYFUNCTION("IMPORTRANGE(""https://docs.google.com/spreadsheets/d/1-uDff_7J0KD5mKrp0Vvzr7lt3OU09vwQwhkpOPPYv2Y/edit?usp=sharing"",""งบพรบ!FS76"")"),0)</f>
        <v>0</v>
      </c>
      <c r="N385" s="544">
        <f ca="1">IFERROR(__xludf.DUMMYFUNCTION("IMPORTRANGE(""https://docs.google.com/spreadsheets/d/1-uDff_7J0KD5mKrp0Vvzr7lt3OU09vwQwhkpOPPYv2Y/edit?usp=sharing"",""งบพรบ!FU76"")"),0)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A895-94EA-4F46-8E4F-EDC75F7A01D3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162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1510550</v>
      </c>
      <c r="M18" s="709">
        <f ca="1">M19+M20</f>
        <v>1214450</v>
      </c>
      <c r="N18" s="709">
        <f ca="1">N19+N20</f>
        <v>541050.50000000012</v>
      </c>
      <c r="O18" s="709">
        <f ca="1">IF(L18&gt;0,N18*100/L18,0)</f>
        <v>35.818112607990479</v>
      </c>
      <c r="P18" s="709">
        <f ca="1">IF(M18&gt;0,N18*100/M18,0)</f>
        <v>44.55107250195563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1510550</v>
      </c>
      <c r="M20" s="822">
        <f ca="1">M23+M26</f>
        <v>1214450</v>
      </c>
      <c r="N20" s="822">
        <f ca="1">N23+N26</f>
        <v>541050.50000000012</v>
      </c>
      <c r="O20" s="822">
        <f ca="1">IF(L20&gt;0,N20*100/L20,0)</f>
        <v>35.818112607990479</v>
      </c>
      <c r="P20" s="822">
        <f ca="1">IF(M20&gt;0,N20*100/M20,0)</f>
        <v>44.55107250195563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1510550</v>
      </c>
      <c r="M21" s="425">
        <f ca="1">M22+M23</f>
        <v>1214450</v>
      </c>
      <c r="N21" s="425">
        <f ca="1">N22+N23</f>
        <v>541050.50000000012</v>
      </c>
      <c r="O21" s="425">
        <f ca="1">IF(L21&gt;0,N21*100/L21,0)</f>
        <v>35.818112607990479</v>
      </c>
      <c r="P21" s="425">
        <f ca="1">IF(M21&gt;0,N21*100/M21,0)</f>
        <v>44.55107250195563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1510550</v>
      </c>
      <c r="M23" s="425">
        <f ca="1">M49+M64+M77+M99+M130+M144+M162+M191+M178+M271+M287+M308+M325+M338+M361+M382</f>
        <v>1214450</v>
      </c>
      <c r="N23" s="425">
        <f ca="1">N49+N64+N77+N99+N130+N144+N162+N191+N178+N271+N287+N308+N325+N338+N361+N382</f>
        <v>541050.50000000012</v>
      </c>
      <c r="O23" s="425">
        <f ca="1">IF(L23&gt;0,N23*100/L23,0)</f>
        <v>35.818112607990479</v>
      </c>
      <c r="P23" s="425">
        <f ca="1">IF(M23&gt;0,N23*100/M23,0)</f>
        <v>44.55107250195563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1510550</v>
      </c>
      <c r="M40" s="814">
        <f ca="1">M44+M59+M72+M94+M125+M139+M157+M173+M186+M266+M282+M303+M320+M333+M356</f>
        <v>1214450</v>
      </c>
      <c r="N40" s="814">
        <f ca="1">N44+N59+N72+N94+N125+N139+N157+N173+N186+N266+N282+N303+N320+N333+N356</f>
        <v>541050.50000000012</v>
      </c>
      <c r="O40" s="814">
        <f ca="1">IF(L40&gt;0,N40*100/L40,0)</f>
        <v>35.818112607990479</v>
      </c>
      <c r="P40" s="814">
        <f ca="1">IF(M40&gt;0,N40*100/M40,0)</f>
        <v>44.55107250195563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231100</v>
      </c>
      <c r="M44" s="799">
        <f ca="1">M45+M46</f>
        <v>235600</v>
      </c>
      <c r="N44" s="799">
        <f ca="1">N45+N46</f>
        <v>86299.96</v>
      </c>
      <c r="O44" s="799">
        <f ca="1">IF(L44&gt;0,N44*100/L44,0)</f>
        <v>37.343124188662919</v>
      </c>
      <c r="P44" s="799">
        <f ca="1">IF(M44&gt;0,N44*100/M44,0)</f>
        <v>36.629864176570457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231100</v>
      </c>
      <c r="M46" s="788">
        <f ca="1">M49+M52</f>
        <v>235600</v>
      </c>
      <c r="N46" s="788">
        <f ca="1">N49+N52</f>
        <v>86299.96</v>
      </c>
      <c r="O46" s="788">
        <f ca="1">IF(L46&gt;0,N46*100/L46,0)</f>
        <v>37.343124188662919</v>
      </c>
      <c r="P46" s="788">
        <f ca="1">IF(M46&gt;0,N46*100/M46,0)</f>
        <v>36.629864176570457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231100</v>
      </c>
      <c r="M47" s="425">
        <f ca="1">M48+M49</f>
        <v>235600</v>
      </c>
      <c r="N47" s="425">
        <f ca="1">N48+N49</f>
        <v>86299.96</v>
      </c>
      <c r="O47" s="425">
        <f ca="1">IF(L47&gt;0,N47*100/L47,0)</f>
        <v>37.343124188662919</v>
      </c>
      <c r="P47" s="425">
        <f ca="1">IF(M47&gt;0,N47*100/M47,0)</f>
        <v>36.629864176570457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IFERROR(__xludf.DUMMYFUNCTION("IMPORTRANGE(""https://docs.google.com/spreadsheets/d/1-uDff_7J0KD5mKrp0Vvzr7lt3OU09vwQwhkpOPPYv2Y/edit?usp=sharing"",""งบพรบ!P77"")"),231100)</f>
        <v>231100</v>
      </c>
      <c r="M49" s="425">
        <f ca="1">IFERROR(__xludf.DUMMYFUNCTION("IMPORTRANGE(""https://docs.google.com/spreadsheets/d/1-uDff_7J0KD5mKrp0Vvzr7lt3OU09vwQwhkpOPPYv2Y/edit?usp=sharing"",""งบพรบ!V77"")"),235600)</f>
        <v>235600</v>
      </c>
      <c r="N49" s="425">
        <f ca="1">IFERROR(__xludf.DUMMYFUNCTION("IMPORTRANGE(""https://docs.google.com/spreadsheets/d/1-uDff_7J0KD5mKrp0Vvzr7lt3OU09vwQwhkpOPPYv2Y/edit?usp=sharing"",""งบพรบ!Y77"")"),86299.96)</f>
        <v>86299.96</v>
      </c>
      <c r="O49" s="425">
        <f ca="1">IF(L49&gt;0,N49*100/L49,0)</f>
        <v>37.343124188662919</v>
      </c>
      <c r="P49" s="425">
        <f ca="1">IF(M49&gt;0,N49*100/M49,0)</f>
        <v>36.629864176570457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IFERROR(__xludf.DUMMYFUNCTION("IMPORTRANGE(""https://docs.google.com/spreadsheets/d/1-uDff_7J0KD5mKrp0Vvzr7lt3OU09vwQwhkpOPPYv2Y/edit?usp=sharing"",""งบพรบ!S77"")"),0)</f>
        <v>0</v>
      </c>
      <c r="M52" s="425">
        <f ca="1">IFERROR(__xludf.DUMMYFUNCTION("IMPORTRANGE(""https://docs.google.com/spreadsheets/d/1-uDff_7J0KD5mKrp0Vvzr7lt3OU09vwQwhkpOPPYv2Y/edit?usp=sharing"",""งบพรบ!W77"")"),0)</f>
        <v>0</v>
      </c>
      <c r="N52" s="425">
        <f ca="1">IFERROR(__xludf.DUMMYFUNCTION("IMPORTRANGE(""https://docs.google.com/spreadsheets/d/1-uDff_7J0KD5mKrp0Vvzr7lt3OU09vwQwhkpOPPYv2Y/edit?usp=sharing"",""งบพรบ!Z77"")"),0)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494400</v>
      </c>
      <c r="M59" s="768">
        <f ca="1">M60+M61</f>
        <v>373050</v>
      </c>
      <c r="N59" s="768">
        <f ca="1">N60+N61</f>
        <v>288340.64</v>
      </c>
      <c r="O59" s="768">
        <f ca="1">IF(L59&gt;0,N59*100/L59,0)</f>
        <v>58.321326860841424</v>
      </c>
      <c r="P59" s="768">
        <f ca="1">IF(M59&gt;0,N59*100/M59,0)</f>
        <v>77.292759683688516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494400</v>
      </c>
      <c r="M61" s="757">
        <f ca="1">M64+M67</f>
        <v>373050</v>
      </c>
      <c r="N61" s="757">
        <f ca="1">N64+N67</f>
        <v>288340.64</v>
      </c>
      <c r="O61" s="757">
        <f ca="1">IF(L61&gt;0,N61*100/L61,0)</f>
        <v>58.321326860841424</v>
      </c>
      <c r="P61" s="757">
        <f ca="1">IF(M61&gt;0,N61*100/M61,0)</f>
        <v>77.292759683688516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494400</v>
      </c>
      <c r="M62" s="425">
        <f ca="1">M63+M64</f>
        <v>373050</v>
      </c>
      <c r="N62" s="425">
        <f ca="1">N63+N64</f>
        <v>288340.64</v>
      </c>
      <c r="O62" s="425">
        <f ca="1">IF(L62&gt;0,N62*100/L62,0)</f>
        <v>58.321326860841424</v>
      </c>
      <c r="P62" s="425">
        <f ca="1">IF(M62&gt;0,N62*100/M62,0)</f>
        <v>77.292759683688516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IFERROR(__xludf.DUMMYFUNCTION("IMPORTRANGE(""https://docs.google.com/spreadsheets/d/1-uDff_7J0KD5mKrp0Vvzr7lt3OU09vwQwhkpOPPYv2Y/edit?usp=sharing"",""งบพรบ!AC77"")"),494400)</f>
        <v>494400</v>
      </c>
      <c r="M64" s="425">
        <f ca="1">IFERROR(__xludf.DUMMYFUNCTION("IMPORTRANGE(""https://docs.google.com/spreadsheets/d/1-uDff_7J0KD5mKrp0Vvzr7lt3OU09vwQwhkpOPPYv2Y/edit?usp=sharing"",""งบพรบ!AH77"")"),373050)</f>
        <v>373050</v>
      </c>
      <c r="N64" s="425">
        <f ca="1">IFERROR(__xludf.DUMMYFUNCTION("IMPORTRANGE(""https://docs.google.com/spreadsheets/d/1-uDff_7J0KD5mKrp0Vvzr7lt3OU09vwQwhkpOPPYv2Y/edit?usp=sharing"",""งบพรบ!AJ77"")"),288340.64)</f>
        <v>288340.64</v>
      </c>
      <c r="O64" s="425">
        <f ca="1">IF(L64&gt;0,N64*100/L64,0)</f>
        <v>58.321326860841424</v>
      </c>
      <c r="P64" s="425">
        <f ca="1">IF(M64&gt;0,N64*100/M64,0)</f>
        <v>77.292759683688516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IFERROR(__xludf.DUMMYFUNCTION("IMPORTRANGE(""https://docs.google.com/spreadsheets/d/1-uDff_7J0KD5mKrp0Vvzr7lt3OU09vwQwhkpOPPYv2Y/edit?usp=sharing"",""งบพรบ!AF77"")"),0)</f>
        <v>0</v>
      </c>
      <c r="M67" s="752">
        <f ca="1">IFERROR(__xludf.DUMMYFUNCTION("IMPORTRANGE(""https://docs.google.com/spreadsheets/d/1-uDff_7J0KD5mKrp0Vvzr7lt3OU09vwQwhkpOPPYv2Y/edit?usp=sharing"",""งบพรบ!AI77"")"),0)</f>
        <v>0</v>
      </c>
      <c r="N67" s="752">
        <f ca="1">IFERROR(__xludf.DUMMYFUNCTION("IMPORTRANGE(""https://docs.google.com/spreadsheets/d/1-uDff_7J0KD5mKrp0Vvzr7lt3OU09vwQwhkpOPPYv2Y/edit?usp=sharing"",""งบพรบ!AK77"")"),0)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IFERROR(__xludf.DUMMYFUNCTION("IMPORTRANGE(""https://docs.google.com/spreadsheets/d/1-uDff_7J0KD5mKrp0Vvzr7lt3OU09vwQwhkpOPPYv2Y/edit?usp=sharing"",""งบพรบ!AM77"")"),0)</f>
        <v>0</v>
      </c>
      <c r="M77" s="425">
        <f ca="1">IFERROR(__xludf.DUMMYFUNCTION("IMPORTRANGE(""https://docs.google.com/spreadsheets/d/1-uDff_7J0KD5mKrp0Vvzr7lt3OU09vwQwhkpOPPYv2Y/edit?usp=sharing"",""งบพรบ!AR77"")"),0)</f>
        <v>0</v>
      </c>
      <c r="N77" s="425">
        <f ca="1">IFERROR(__xludf.DUMMYFUNCTION("IMPORTRANGE(""https://docs.google.com/spreadsheets/d/1-uDff_7J0KD5mKrp0Vvzr7lt3OU09vwQwhkpOPPYv2Y/edit?usp=sharing"",""งบพรบ!AT77"")"),0)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IFERROR(__xludf.DUMMYFUNCTION("IMPORTRANGE(""https://docs.google.com/spreadsheets/d/1-uDff_7J0KD5mKrp0Vvzr7lt3OU09vwQwhkpOPPYv2Y/edit?usp=sharing"",""งบพรบ!AP77"")"),0)</f>
        <v>0</v>
      </c>
      <c r="M80" s="425">
        <f ca="1">IFERROR(__xludf.DUMMYFUNCTION("IMPORTRANGE(""https://docs.google.com/spreadsheets/d/1-uDff_7J0KD5mKrp0Vvzr7lt3OU09vwQwhkpOPPYv2Y/edit?usp=sharing"",""งบพรบ!AS77"")"),0)</f>
        <v>0</v>
      </c>
      <c r="N80" s="425">
        <f ca="1">IFERROR(__xludf.DUMMYFUNCTION("IMPORTRANGE(""https://docs.google.com/spreadsheets/d/1-uDff_7J0KD5mKrp0Vvzr7lt3OU09vwQwhkpOPPYv2Y/edit?usp=sharing"",""งบพรบ!AU77"")"),0)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IFERROR(__xludf.DUMMYFUNCTION("IMPORTRANGE(""https://docs.google.com/spreadsheets/d/1eHaY18a8A9IcSdp1K8H6x8fbOy06t2VsZHhMHf-1x7Y/edit?usp=sharing"",""แผน!H77"")"),0)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IFERROR(__xludf.DUMMYFUNCTION("IMPORTRANGE(""https://docs.google.com/spreadsheets/d/1eHaY18a8A9IcSdp1K8H6x8fbOy06t2VsZHhMHf-1x7Y/edit?usp=sharing"",""แผน!I77"")"),0)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IFERROR(__xludf.DUMMYFUNCTION("IMPORTRANGE(""https://docs.google.com/spreadsheets/d/1eHaY18a8A9IcSdp1K8H6x8fbOy06t2VsZHhMHf-1x7Y/edit?usp=sharing"",""แผน!F77"")"),0)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IFERROR(__xludf.DUMMYFUNCTION("IMPORTRANGE(""https://docs.google.com/spreadsheets/d/1eHaY18a8A9IcSdp1K8H6x8fbOy06t2VsZHhMHf-1x7Y/edit?usp=sharing"",""แผน!G77"")"),0)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IFERROR(__xludf.DUMMYFUNCTION("IMPORTRANGE(""https://docs.google.com/spreadsheets/d/1eHaY18a8A9IcSdp1K8H6x8fbOy06t2VsZHhMHf-1x7Y/edit?usp=sharing"",""แผน!D77"")"),0)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IFERROR(__xludf.DUMMYFUNCTION("IMPORTRANGE(""https://docs.google.com/spreadsheets/d/1eHaY18a8A9IcSdp1K8H6x8fbOy06t2VsZHhMHf-1x7Y/edit?usp=sharing"",""แผน!E77"")"),0)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IFERROR(__xludf.DUMMYFUNCTION("IMPORTRANGE(""https://docs.google.com/spreadsheets/d/1eHaY18a8A9IcSdp1K8H6x8fbOy06t2VsZHhMHf-1x7Y/edit?usp=sharing"",""แผน!J77"")"),0)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IFERROR(__xludf.DUMMYFUNCTION("IMPORTRANGE(""https://docs.google.com/spreadsheets/d/1-uDff_7J0KD5mKrp0Vvzr7lt3OU09vwQwhkpOPPYv2Y/edit?usp=sharing"",""งบพรบ!AW77"")"),0)</f>
        <v>0</v>
      </c>
      <c r="M99" s="425">
        <f ca="1">IFERROR(__xludf.DUMMYFUNCTION("IMPORTRANGE(""https://docs.google.com/spreadsheets/d/1-uDff_7J0KD5mKrp0Vvzr7lt3OU09vwQwhkpOPPYv2Y/edit?usp=sharing"",""งบพรบ!BB77"")"),0)</f>
        <v>0</v>
      </c>
      <c r="N99" s="425">
        <f ca="1">IFERROR(__xludf.DUMMYFUNCTION("IMPORTRANGE(""https://docs.google.com/spreadsheets/d/1-uDff_7J0KD5mKrp0Vvzr7lt3OU09vwQwhkpOPPYv2Y/edit?usp=sharing"",""งบพรบ!BD77"")"),0)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IFERROR(__xludf.DUMMYFUNCTION("IMPORTRANGE(""https://docs.google.com/spreadsheets/d/1-uDff_7J0KD5mKrp0Vvzr7lt3OU09vwQwhkpOPPYv2Y/edit?usp=sharing"",""งบพรบ!AZ77"")"),0)</f>
        <v>0</v>
      </c>
      <c r="M102" s="425">
        <f ca="1">IFERROR(__xludf.DUMMYFUNCTION("IMPORTRANGE(""https://docs.google.com/spreadsheets/d/1-uDff_7J0KD5mKrp0Vvzr7lt3OU09vwQwhkpOPPYv2Y/edit?usp=sharing"",""งบพรบ!BC77"")"),0)</f>
        <v>0</v>
      </c>
      <c r="N102" s="425">
        <f ca="1">IFERROR(__xludf.DUMMYFUNCTION("IMPORTRANGE(""https://docs.google.com/spreadsheets/d/1-uDff_7J0KD5mKrp0Vvzr7lt3OU09vwQwhkpOPPYv2Y/edit?usp=sharing"",""งบพรบ!BE77"")"),0)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IFERROR(__xludf.DUMMYFUNCTION("IMPORTRANGE(""https://docs.google.com/spreadsheets/d/1eHaY18a8A9IcSdp1K8H6x8fbOy06t2VsZHhMHf-1x7Y/edit?usp=sharing"",""แผน!N77"")"),0)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IFERROR(__xludf.DUMMYFUNCTION("IMPORTRANGE(""https://docs.google.com/spreadsheets/d/1eHaY18a8A9IcSdp1K8H6x8fbOy06t2VsZHhMHf-1x7Y/edit?usp=sharing"",""แผน!O77"")"),0)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IFERROR(__xludf.DUMMYFUNCTION("IMPORTRANGE(""https://docs.google.com/spreadsheets/d/1eHaY18a8A9IcSdp1K8H6x8fbOy06t2VsZHhMHf-1x7Y/edit?usp=sharing"",""แผน!R77"")"),0)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IFERROR(__xludf.DUMMYFUNCTION("IMPORTRANGE(""https://docs.google.com/spreadsheets/d/1-uDff_7J0KD5mKrp0Vvzr7lt3OU09vwQwhkpOPPYv2Y/edit?usp=sharing"",""งบพรบ!BG77"")"),0)</f>
        <v>0</v>
      </c>
      <c r="M130" s="728">
        <f ca="1">IFERROR(__xludf.DUMMYFUNCTION("IMPORTRANGE(""https://docs.google.com/spreadsheets/d/1-uDff_7J0KD5mKrp0Vvzr7lt3OU09vwQwhkpOPPYv2Y/edit?usp=sharing"",""งบพรบ!BL77"")"),0)</f>
        <v>0</v>
      </c>
      <c r="N130" s="728">
        <f ca="1">IFERROR(__xludf.DUMMYFUNCTION("IMPORTRANGE(""https://docs.google.com/spreadsheets/d/1-uDff_7J0KD5mKrp0Vvzr7lt3OU09vwQwhkpOPPYv2Y/edit?usp=sharing"",""งบพรบ!BN77"")"),0)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IFERROR(__xludf.DUMMYFUNCTION("IMPORTRANGE(""https://docs.google.com/spreadsheets/d/1-uDff_7J0KD5mKrp0Vvzr7lt3OU09vwQwhkpOPPYv2Y/edit?usp=sharing"",""งบพรบ!BJ77"")"),0)</f>
        <v>0</v>
      </c>
      <c r="M133" s="728">
        <f ca="1">IFERROR(__xludf.DUMMYFUNCTION("IMPORTRANGE(""https://docs.google.com/spreadsheets/d/1-uDff_7J0KD5mKrp0Vvzr7lt3OU09vwQwhkpOPPYv2Y/edit?usp=sharing"",""งบพรบ!BM77"")"),0)</f>
        <v>0</v>
      </c>
      <c r="N133" s="728">
        <f ca="1">IFERROR(__xludf.DUMMYFUNCTION("IMPORTRANGE(""https://docs.google.com/spreadsheets/d/1-uDff_7J0KD5mKrp0Vvzr7lt3OU09vwQwhkpOPPYv2Y/edit?usp=sharing"",""งบพรบ!BO77"")"),0)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1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20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2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137700</v>
      </c>
      <c r="M139" s="550">
        <f ca="1">M140+M141</f>
        <v>107900</v>
      </c>
      <c r="N139" s="550">
        <f ca="1">N140+N141</f>
        <v>51569.4</v>
      </c>
      <c r="O139" s="550">
        <f ca="1">IF(L139&gt;0,N139*100/L139,0)</f>
        <v>37.450544662309369</v>
      </c>
      <c r="P139" s="550">
        <f ca="1">IF(M139&gt;0,N139*100/M139,0)</f>
        <v>47.793697868396663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137700</v>
      </c>
      <c r="M141" s="425">
        <f ca="1">M144+M147</f>
        <v>107900</v>
      </c>
      <c r="N141" s="425">
        <f ca="1">N144+N147</f>
        <v>51569.4</v>
      </c>
      <c r="O141" s="425">
        <f ca="1">IF(L141&gt;0,N141*100/L141,0)</f>
        <v>37.450544662309369</v>
      </c>
      <c r="P141" s="425">
        <f ca="1">IF(M141&gt;0,N141*100/M141,0)</f>
        <v>47.793697868396663</v>
      </c>
    </row>
    <row r="142" spans="1:16" ht="18.75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137700</v>
      </c>
      <c r="M142" s="425">
        <f ca="1">M143+M144</f>
        <v>107900</v>
      </c>
      <c r="N142" s="425">
        <f ca="1">N143+N144</f>
        <v>51569.4</v>
      </c>
      <c r="O142" s="425">
        <f ca="1">IF(L142&gt;0,N142*100/L142,0)</f>
        <v>37.450544662309369</v>
      </c>
      <c r="P142" s="425">
        <f ca="1">IF(M142&gt;0,N142*100/M142,0)</f>
        <v>47.793697868396663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IFERROR(__xludf.DUMMYFUNCTION("IMPORTRANGE(""https://docs.google.com/spreadsheets/d/1-uDff_7J0KD5mKrp0Vvzr7lt3OU09vwQwhkpOPPYv2Y/edit?usp=sharing"",""งบพรบ!BQ77"")"),137700)</f>
        <v>137700</v>
      </c>
      <c r="M144" s="425">
        <f ca="1">IFERROR(__xludf.DUMMYFUNCTION("IMPORTRANGE(""https://docs.google.com/spreadsheets/d/1-uDff_7J0KD5mKrp0Vvzr7lt3OU09vwQwhkpOPPYv2Y/edit?usp=sharing"",""งบพรบ!BV77"")"),107900)</f>
        <v>107900</v>
      </c>
      <c r="N144" s="425">
        <f ca="1">IFERROR(__xludf.DUMMYFUNCTION("IMPORTRANGE(""https://docs.google.com/spreadsheets/d/1-uDff_7J0KD5mKrp0Vvzr7lt3OU09vwQwhkpOPPYv2Y/edit?usp=sharing"",""งบพรบ!BX77"")"),51569.4)</f>
        <v>51569.4</v>
      </c>
      <c r="O144" s="425">
        <f ca="1">IF(L144&gt;0,N144*100/L144,0)</f>
        <v>37.450544662309369</v>
      </c>
      <c r="P144" s="425">
        <f ca="1">IF(M144&gt;0,N144*100/M144,0)</f>
        <v>47.793697868396663</v>
      </c>
    </row>
    <row r="145" spans="1:16" ht="18.75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IFERROR(__xludf.DUMMYFUNCTION("IMPORTRANGE(""https://docs.google.com/spreadsheets/d/1-uDff_7J0KD5mKrp0Vvzr7lt3OU09vwQwhkpOPPYv2Y/edit?usp=sharing"",""งบพรบ!BT77"")"),0)</f>
        <v>0</v>
      </c>
      <c r="M147" s="425">
        <f ca="1">IFERROR(__xludf.DUMMYFUNCTION("IMPORTRANGE(""https://docs.google.com/spreadsheets/d/1-uDff_7J0KD5mKrp0Vvzr7lt3OU09vwQwhkpOPPYv2Y/edit?usp=sharing"",""งบพรบ!BW77"")"),0)</f>
        <v>0</v>
      </c>
      <c r="N147" s="425">
        <f ca="1">IFERROR(__xludf.DUMMYFUNCTION("IMPORTRANGE(""https://docs.google.com/spreadsheets/d/1-uDff_7J0KD5mKrp0Vvzr7lt3OU09vwQwhkpOPPYv2Y/edit?usp=sharing"",""งบพรบ!BY77"")"),0)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IFERROR(__xludf.DUMMYFUNCTION("IMPORTRANGE(""https://docs.google.com/spreadsheets/d/1eHaY18a8A9IcSdp1K8H6x8fbOy06t2VsZHhMHf-1x7Y/edit?usp=sharing"",""แผน!U77"")"),10)</f>
        <v>10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IFERROR(__xludf.DUMMYFUNCTION("IMPORTRANGE(""https://docs.google.com/spreadsheets/d/1eHaY18a8A9IcSdp1K8H6x8fbOy06t2VsZHhMHf-1x7Y/edit?usp=sharing"",""แผน!V77"")"),1)</f>
        <v>1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IFERROR(__xludf.DUMMYFUNCTION("IMPORTRANGE(""https://docs.google.com/spreadsheets/d/1eHaY18a8A9IcSdp1K8H6x8fbOy06t2VsZHhMHf-1x7Y/edit?usp=sharing"",""แผน!W77"")"),20)</f>
        <v>20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IFERROR(__xludf.DUMMYFUNCTION("IMPORTRANGE(""https://docs.google.com/spreadsheets/d/1eHaY18a8A9IcSdp1K8H6x8fbOy06t2VsZHhMHf-1x7Y/edit?usp=sharing"",""แผน!X77"")"),2)</f>
        <v>2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IFERROR(__xludf.DUMMYFUNCTION("IMPORTRANGE(""https://docs.google.com/spreadsheets/d/1eHaY18a8A9IcSdp1K8H6x8fbOy06t2VsZHhMHf-1x7Y/edit?usp=sharing"",""แผน!Y77"")"),1)</f>
        <v>1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IFERROR(__xludf.DUMMYFUNCTION("IMPORTRANGE(""https://docs.google.com/spreadsheets/d/1-uDff_7J0KD5mKrp0Vvzr7lt3OU09vwQwhkpOPPYv2Y/edit?usp=sharing"",""งบพรบ!CA77"")"),0)</f>
        <v>0</v>
      </c>
      <c r="M162" s="425">
        <f ca="1">IFERROR(__xludf.DUMMYFUNCTION("IMPORTRANGE(""https://docs.google.com/spreadsheets/d/1-uDff_7J0KD5mKrp0Vvzr7lt3OU09vwQwhkpOPPYv2Y/edit?usp=sharing"",""งบพรบ!CF77"")"),0)</f>
        <v>0</v>
      </c>
      <c r="N162" s="425">
        <f ca="1">IFERROR(__xludf.DUMMYFUNCTION("IMPORTRANGE(""https://docs.google.com/spreadsheets/d/1-uDff_7J0KD5mKrp0Vvzr7lt3OU09vwQwhkpOPPYv2Y/edit?usp=sharing"",""งบพรบ!CH77"")"),0)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IFERROR(__xludf.DUMMYFUNCTION("IMPORTRANGE(""https://docs.google.com/spreadsheets/d/1-uDff_7J0KD5mKrp0Vvzr7lt3OU09vwQwhkpOPPYv2Y/edit?usp=sharing"",""งบพรบ!CD77"")"),0)</f>
        <v>0</v>
      </c>
      <c r="M165" s="425">
        <f ca="1">IFERROR(__xludf.DUMMYFUNCTION("IMPORTRANGE(""https://docs.google.com/spreadsheets/d/1-uDff_7J0KD5mKrp0Vvzr7lt3OU09vwQwhkpOPPYv2Y/edit?usp=sharing"",""งบพรบ!CG77"")"),0)</f>
        <v>0</v>
      </c>
      <c r="N165" s="425">
        <f ca="1">IFERROR(__xludf.DUMMYFUNCTION("IMPORTRANGE(""https://docs.google.com/spreadsheets/d/1-uDff_7J0KD5mKrp0Vvzr7lt3OU09vwQwhkpOPPYv2Y/edit?usp=sharing"",""งบพรบ!CI77"")"),0)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IFERROR(__xludf.DUMMYFUNCTION("IMPORTRANGE(""https://docs.google.com/spreadsheets/d/1eHaY18a8A9IcSdp1K8H6x8fbOy06t2VsZHhMHf-1x7Y/edit?usp=sharing"",""แผน!Z77"")"),0)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IFERROR(__xludf.DUMMYFUNCTION("IMPORTRANGE(""https://docs.google.com/spreadsheets/d/1eHaY18a8A9IcSdp1K8H6x8fbOy06t2VsZHhMHf-1x7Y/edit?usp=sharing"",""แผน!Z77"")"),0)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IFERROR(__xludf.DUMMYFUNCTION("IMPORTRANGE(""https://docs.google.com/spreadsheets/d/1eHaY18a8A9IcSdp1K8H6x8fbOy06t2VsZHhMHf-1x7Y/edit?usp=sharing"",""แผน!Z77"")"),0)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0</v>
      </c>
      <c r="O173" s="550">
        <f ca="1">IF(L173&gt;0,N173*100/L173,0)</f>
        <v>0</v>
      </c>
      <c r="P173" s="550">
        <f ca="1">IF(M173&gt;0,N173*100/M173,0)</f>
        <v>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IFERROR(__xludf.DUMMYFUNCTION("IMPORTRANGE(""https://docs.google.com/spreadsheets/d/1-uDff_7J0KD5mKrp0Vvzr7lt3OU09vwQwhkpOPPYv2Y/edit?usp=sharing"",""งบพรบ!CK77"")"),19590)</f>
        <v>19590</v>
      </c>
      <c r="M178" s="425">
        <f ca="1">IFERROR(__xludf.DUMMYFUNCTION("IMPORTRANGE(""https://docs.google.com/spreadsheets/d/1-uDff_7J0KD5mKrp0Vvzr7lt3OU09vwQwhkpOPPYv2Y/edit?usp=sharing"",""งบพรบ!CP77"")"),19590)</f>
        <v>19590</v>
      </c>
      <c r="N178" s="425">
        <f ca="1">IFERROR(__xludf.DUMMYFUNCTION("IMPORTRANGE(""https://docs.google.com/spreadsheets/d/1-uDff_7J0KD5mKrp0Vvzr7lt3OU09vwQwhkpOPPYv2Y/edit?usp=sharing"",""งบพรบ!CR77"")"),0)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IFERROR(__xludf.DUMMYFUNCTION("IMPORTRANGE(""https://docs.google.com/spreadsheets/d/1-uDff_7J0KD5mKrp0Vvzr7lt3OU09vwQwhkpOPPYv2Y/edit?usp=sharing"",""งบพรบ!CN77"")"),0)</f>
        <v>0</v>
      </c>
      <c r="M181" s="425">
        <f ca="1">IFERROR(__xludf.DUMMYFUNCTION("IMPORTRANGE(""https://docs.google.com/spreadsheets/d/1-uDff_7J0KD5mKrp0Vvzr7lt3OU09vwQwhkpOPPYv2Y/edit?usp=sharing"",""งบพรบ!CQ77"")"),0)</f>
        <v>0</v>
      </c>
      <c r="N181" s="425">
        <f ca="1">IFERROR(__xludf.DUMMYFUNCTION("IMPORTRANGE(""https://docs.google.com/spreadsheets/d/1-uDff_7J0KD5mKrp0Vvzr7lt3OU09vwQwhkpOPPYv2Y/edit?usp=sharing"",""งบพรบ!CS77"")"),0)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IFERROR(__xludf.DUMMYFUNCTION("IMPORTRANGE(""https://docs.google.com/spreadsheets/d/1eHaY18a8A9IcSdp1K8H6x8fbOy06t2VsZHhMHf-1x7Y/edit?usp=sharing"",""แผน!AA77"")"),7)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23500</v>
      </c>
      <c r="M186" s="550">
        <f ca="1">M187+M188</f>
        <v>13500</v>
      </c>
      <c r="N186" s="550">
        <f ca="1">N187+N188</f>
        <v>0</v>
      </c>
      <c r="O186" s="550">
        <f ca="1">IF(L186&gt;0,N186*100/L186,0)</f>
        <v>0</v>
      </c>
      <c r="P186" s="550">
        <f ca="1">IF(M186&gt;0,N186*100/M186,0)</f>
        <v>0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23500</v>
      </c>
      <c r="M188" s="425">
        <f ca="1">M191+M194</f>
        <v>13500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23500</v>
      </c>
      <c r="M189" s="425">
        <f ca="1">M190+M191</f>
        <v>13500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IFERROR(__xludf.DUMMYFUNCTION("IMPORTRANGE(""https://docs.google.com/spreadsheets/d/1-uDff_7J0KD5mKrp0Vvzr7lt3OU09vwQwhkpOPPYv2Y/edit?usp=sharing"",""งบพรบ!CU77"")"),23500)</f>
        <v>23500</v>
      </c>
      <c r="M191" s="425">
        <f ca="1">IFERROR(__xludf.DUMMYFUNCTION("IMPORTRANGE(""https://docs.google.com/spreadsheets/d/1-uDff_7J0KD5mKrp0Vvzr7lt3OU09vwQwhkpOPPYv2Y/edit?usp=sharing"",""งบพรบ!CZ77"")"),13500)</f>
        <v>13500</v>
      </c>
      <c r="N191" s="425">
        <f ca="1">IFERROR(__xludf.DUMMYFUNCTION("IMPORTRANGE(""https://docs.google.com/spreadsheets/d/1-uDff_7J0KD5mKrp0Vvzr7lt3OU09vwQwhkpOPPYv2Y/edit?usp=sharing"",""งบพรบ!DB77"")"),0)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IFERROR(__xludf.DUMMYFUNCTION("IMPORTRANGE(""https://docs.google.com/spreadsheets/d/1-uDff_7J0KD5mKrp0Vvzr7lt3OU09vwQwhkpOPPYv2Y/edit?usp=sharing"",""งบพรบ!CX77"")"),0)</f>
        <v>0</v>
      </c>
      <c r="M194" s="425">
        <f ca="1">IFERROR(__xludf.DUMMYFUNCTION("IMPORTRANGE(""https://docs.google.com/spreadsheets/d/1-uDff_7J0KD5mKrp0Vvzr7lt3OU09vwQwhkpOPPYv2Y/edit?usp=sharing"",""งบพรบ!DA77"")"),0)</f>
        <v>0</v>
      </c>
      <c r="N194" s="425">
        <f ca="1">IFERROR(__xludf.DUMMYFUNCTION("IMPORTRANGE(""https://docs.google.com/spreadsheets/d/1-uDff_7J0KD5mKrp0Vvzr7lt3OU09vwQwhkpOPPYv2Y/edit?usp=sharing"",""งบพรบ!DC77"")"),0)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IFERROR(__xludf.DUMMYFUNCTION("IMPORTRANGE(""https://docs.google.com/spreadsheets/d/1eHaY18a8A9IcSdp1K8H6x8fbOy06t2VsZHhMHf-1x7Y/edit?usp=sharing"",""แผน!AB77"")"),6000)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IFERROR(__xludf.DUMMYFUNCTION("IMPORTRANGE(""https://docs.google.com/spreadsheets/d/1eHaY18a8A9IcSdp1K8H6x8fbOy06t2VsZHhMHf-1x7Y/edit?usp=sharing"",""แผน!AE77"")"),4)</f>
        <v>4</v>
      </c>
      <c r="J198" s="568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4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4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13000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IFERROR(__xludf.DUMMYFUNCTION("IMPORTRANGE(""https://docs.google.com/spreadsheets/d/1eHaY18a8A9IcSdp1K8H6x8fbOy06t2VsZHhMHf-1x7Y/edit?usp=sharing"",""แผน!AG77"")"),1000)</f>
        <v>1000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IFERROR(__xludf.DUMMYFUNCTION("IMPORTRANGE(""https://docs.google.com/spreadsheets/d/1eHaY18a8A9IcSdp1K8H6x8fbOy06t2VsZHhMHf-1x7Y/edit?usp=sharing"",""แผน!AH77"")"),0)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IFERROR(__xludf.DUMMYFUNCTION("IMPORTRANGE(""https://docs.google.com/spreadsheets/d/1eHaY18a8A9IcSdp1K8H6x8fbOy06t2VsZHhMHf-1x7Y/edit?usp=sharing"",""แผน!AI77"")"),8000)</f>
        <v>8000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IFERROR(__xludf.DUMMYFUNCTION("IMPORTRANGE(""https://docs.google.com/spreadsheets/d/1eHaY18a8A9IcSdp1K8H6x8fbOy06t2VsZHhMHf-1x7Y/edit?usp=sharing"",""แผน!AJ77"")"),4000)</f>
        <v>4000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IFERROR(__xludf.DUMMYFUNCTION("IMPORTRANGE(""https://docs.google.com/spreadsheets/d/1eHaY18a8A9IcSdp1K8H6x8fbOy06t2VsZHhMHf-1x7Y/edit?usp=sharing"",""แผน!AK77"")"),1)</f>
        <v>1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IFERROR(__xludf.DUMMYFUNCTION("IMPORTRANGE(""https://docs.google.com/spreadsheets/d/1eHaY18a8A9IcSdp1K8H6x8fbOy06t2VsZHhMHf-1x7Y/edit?usp=sharing"",""แผน!JX77"")"),1)</f>
        <v>1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IFERROR(__xludf.DUMMYFUNCTION("IMPORTRANGE(""https://docs.google.com/spreadsheets/d/1eHaY18a8A9IcSdp1K8H6x8fbOy06t2VsZHhMHf-1x7Y/edit?usp=sharing"",""แผน!JY77"")"),0)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IFERROR(__xludf.DUMMYFUNCTION("IMPORTRANGE(""https://docs.google.com/spreadsheets/d/1eHaY18a8A9IcSdp1K8H6x8fbOy06t2VsZHhMHf-1x7Y/edit?usp=sharing"",""แผน!AM77"")"),0)</f>
        <v>0</v>
      </c>
      <c r="M215" s="428"/>
      <c r="N215" s="683">
        <v>0</v>
      </c>
      <c r="O215" s="527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IFERROR(__xludf.DUMMYFUNCTION("IMPORTRANGE(""https://docs.google.com/spreadsheets/d/1eHaY18a8A9IcSdp1K8H6x8fbOy06t2VsZHhMHf-1x7Y/edit?usp=sharing"",""แผน!AN77"")"),0)</f>
        <v>0</v>
      </c>
      <c r="M216" s="428"/>
      <c r="N216" s="683">
        <v>0</v>
      </c>
      <c r="O216" s="527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IFERROR(__xludf.DUMMYFUNCTION("IMPORTRANGE(""https://docs.google.com/spreadsheets/d/1eHaY18a8A9IcSdp1K8H6x8fbOy06t2VsZHhMHf-1x7Y/edit?usp=sharing"",""แผน!AO77"")"),0)</f>
        <v>0</v>
      </c>
      <c r="M217" s="428"/>
      <c r="N217" s="683">
        <v>0</v>
      </c>
      <c r="O217" s="527"/>
      <c r="P217" s="428"/>
    </row>
    <row r="218" spans="1:16" ht="19.5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IFERROR(__xludf.DUMMYFUNCTION("IMPORTRANGE(""https://docs.google.com/spreadsheets/d/1eHaY18a8A9IcSdp1K8H6x8fbOy06t2VsZHhMHf-1x7Y/edit?usp=sharing"",""แผน!AP77"")"),0)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IFERROR(__xludf.DUMMYFUNCTION("IMPORTRANGE(""https://docs.google.com/spreadsheets/d/1eHaY18a8A9IcSdp1K8H6x8fbOy06t2VsZHhMHf-1x7Y/edit?usp=sharing"",""แผน!AP77"")"),0)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IFERROR(__xludf.DUMMYFUNCTION("IMPORTRANGE(""https://docs.google.com/spreadsheets/d/1eHaY18a8A9IcSdp1K8H6x8fbOy06t2VsZHhMHf-1x7Y/edit?usp=sharing"",""แผน!AR77"")"),3000)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IFERROR(__xludf.DUMMYFUNCTION("IMPORTRANGE(""https://docs.google.com/spreadsheets/d/1eHaY18a8A9IcSdp1K8H6x8fbOy06t2VsZHhMHf-1x7Y/edit?usp=sharing"",""แผน!AS77"")"),1500)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IFERROR(__xludf.DUMMYFUNCTION("IMPORTRANGE(""https://docs.google.com/spreadsheets/d/1eHaY18a8A9IcSdp1K8H6x8fbOy06t2VsZHhMHf-1x7Y/edit?usp=sharing"",""แผน!AT77"")"),0)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IFERROR(__xludf.DUMMYFUNCTION("IMPORTRANGE(""https://docs.google.com/spreadsheets/d/1eHaY18a8A9IcSdp1K8H6x8fbOy06t2VsZHhMHf-1x7Y/edit?usp=sharing"",""แผน!AV77"")"),10000)</f>
        <v>10000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IFERROR(__xludf.DUMMYFUNCTION("IMPORTRANGE(""https://docs.google.com/spreadsheets/d/1eHaY18a8A9IcSdp1K8H6x8fbOy06t2VsZHhMHf-1x7Y/edit?usp=sharing"",""แผน!AV77"")"),10000)</f>
        <v>10000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IFERROR(__xludf.DUMMYFUNCTION("IMPORTRANGE(""https://docs.google.com/spreadsheets/d/1eHaY18a8A9IcSdp1K8H6x8fbOy06t2VsZHhMHf-1x7Y/edit?usp=sharing"",""แผน!AU77"")"),0)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681"/>
      <c r="B242" s="680"/>
      <c r="C242" s="662" t="s">
        <v>105</v>
      </c>
      <c r="D242" s="679"/>
      <c r="E242" s="679"/>
      <c r="F242" s="679"/>
      <c r="G242" s="678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677"/>
      <c r="M242" s="677"/>
      <c r="N242" s="677"/>
      <c r="O242" s="677"/>
      <c r="P242" s="677"/>
    </row>
    <row r="243" spans="1:16" ht="19.5" hidden="1" x14ac:dyDescent="0.3">
      <c r="A243" s="676"/>
      <c r="B243" s="673"/>
      <c r="C243" s="636" t="s">
        <v>16</v>
      </c>
      <c r="D243" s="635" t="s">
        <v>17</v>
      </c>
      <c r="E243" s="673"/>
      <c r="F243" s="673"/>
      <c r="G243" s="672"/>
      <c r="H243" s="657" t="s">
        <v>12</v>
      </c>
      <c r="I243" s="669"/>
      <c r="J243" s="669"/>
      <c r="K243" s="668"/>
      <c r="L243" s="633">
        <f ca="1">L244+L245+L246+L247</f>
        <v>0</v>
      </c>
      <c r="M243" s="663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676"/>
      <c r="B244" s="674"/>
      <c r="C244" s="673"/>
      <c r="D244" s="546" t="s">
        <v>80</v>
      </c>
      <c r="E244" s="673"/>
      <c r="F244" s="673"/>
      <c r="G244" s="672"/>
      <c r="H244" s="545" t="s">
        <v>12</v>
      </c>
      <c r="I244" s="669"/>
      <c r="J244" s="669"/>
      <c r="K244" s="668"/>
      <c r="L244" s="544">
        <f ca="1">IFERROR(__xludf.DUMMYFUNCTION("IMPORTRANGE(""https://docs.google.com/spreadsheets/d/1eHaY18a8A9IcSdp1K8H6x8fbOy06t2VsZHhMHf-1x7Y/edit?usp=sharing"",""แผน!AX77"")"),0)</f>
        <v>0</v>
      </c>
      <c r="M244" s="663"/>
      <c r="N244" s="656">
        <v>0</v>
      </c>
      <c r="O244" s="663"/>
      <c r="P244" s="663"/>
    </row>
    <row r="245" spans="1:16" ht="18.75" hidden="1" x14ac:dyDescent="0.25">
      <c r="A245" s="675"/>
      <c r="B245" s="674"/>
      <c r="C245" s="674"/>
      <c r="D245" s="546" t="s">
        <v>82</v>
      </c>
      <c r="E245" s="673"/>
      <c r="F245" s="673"/>
      <c r="G245" s="672"/>
      <c r="H245" s="545" t="s">
        <v>12</v>
      </c>
      <c r="I245" s="197"/>
      <c r="J245" s="197"/>
      <c r="K245" s="663"/>
      <c r="L245" s="544">
        <f ca="1">IFERROR(__xludf.DUMMYFUNCTION("IMPORTRANGE(""https://docs.google.com/spreadsheets/d/1eHaY18a8A9IcSdp1K8H6x8fbOy06t2VsZHhMHf-1x7Y/edit?usp=sharing"",""แผน!AY77"")"),0)</f>
        <v>0</v>
      </c>
      <c r="M245" s="663"/>
      <c r="N245" s="656">
        <v>0</v>
      </c>
      <c r="O245" s="663"/>
      <c r="P245" s="663"/>
    </row>
    <row r="246" spans="1:16" ht="18.75" hidden="1" x14ac:dyDescent="0.25">
      <c r="A246" s="675"/>
      <c r="B246" s="674"/>
      <c r="C246" s="674"/>
      <c r="D246" s="546" t="s">
        <v>100</v>
      </c>
      <c r="E246" s="673"/>
      <c r="F246" s="673"/>
      <c r="G246" s="672"/>
      <c r="H246" s="545" t="s">
        <v>12</v>
      </c>
      <c r="I246" s="197"/>
      <c r="J246" s="197"/>
      <c r="K246" s="663"/>
      <c r="L246" s="544">
        <f ca="1">IFERROR(__xludf.DUMMYFUNCTION("IMPORTRANGE(""https://docs.google.com/spreadsheets/d/1eHaY18a8A9IcSdp1K8H6x8fbOy06t2VsZHhMHf-1x7Y/edit?usp=sharing"",""แผน!AZ77"")"),0)</f>
        <v>0</v>
      </c>
      <c r="M246" s="663"/>
      <c r="N246" s="656">
        <v>0</v>
      </c>
      <c r="O246" s="663"/>
      <c r="P246" s="663"/>
    </row>
    <row r="247" spans="1:16" ht="18.75" hidden="1" x14ac:dyDescent="0.25">
      <c r="A247" s="675"/>
      <c r="B247" s="674"/>
      <c r="C247" s="674"/>
      <c r="D247" s="546" t="s">
        <v>101</v>
      </c>
      <c r="E247" s="673"/>
      <c r="F247" s="673"/>
      <c r="G247" s="672"/>
      <c r="H247" s="545" t="s">
        <v>12</v>
      </c>
      <c r="I247" s="197"/>
      <c r="J247" s="197"/>
      <c r="K247" s="663"/>
      <c r="L247" s="544">
        <f ca="1">IFERROR(__xludf.DUMMYFUNCTION("IMPORTRANGE(""https://docs.google.com/spreadsheets/d/1eHaY18a8A9IcSdp1K8H6x8fbOy06t2VsZHhMHf-1x7Y/edit?usp=sharing"",""แผน!BA77"")"),0)</f>
        <v>0</v>
      </c>
      <c r="M247" s="663"/>
      <c r="N247" s="656">
        <v>0</v>
      </c>
      <c r="O247" s="663"/>
      <c r="P247" s="663"/>
    </row>
    <row r="248" spans="1:16" ht="19.5" hidden="1" x14ac:dyDescent="0.3">
      <c r="A248" s="667"/>
      <c r="B248" s="666"/>
      <c r="C248" s="655" t="s">
        <v>16</v>
      </c>
      <c r="D248" s="630" t="s">
        <v>36</v>
      </c>
      <c r="E248" s="671"/>
      <c r="F248" s="671"/>
      <c r="G248" s="670"/>
      <c r="H248" s="664"/>
      <c r="I248" s="669"/>
      <c r="J248" s="197"/>
      <c r="K248" s="663"/>
      <c r="L248" s="663"/>
      <c r="M248" s="663"/>
      <c r="N248" s="663"/>
      <c r="O248" s="668"/>
      <c r="P248" s="668"/>
    </row>
    <row r="249" spans="1:16" ht="18.75" hidden="1" x14ac:dyDescent="0.25">
      <c r="A249" s="667"/>
      <c r="B249" s="666"/>
      <c r="C249" s="666"/>
      <c r="D249" s="654" t="s">
        <v>102</v>
      </c>
      <c r="E249" s="665"/>
      <c r="F249" s="665"/>
      <c r="G249" s="664"/>
      <c r="H249" s="651" t="s">
        <v>33</v>
      </c>
      <c r="I249" s="199">
        <f ca="1">IFERROR(__xludf.DUMMYFUNCTION("IMPORTRANGE(""https://docs.google.com/spreadsheets/d/1eHaY18a8A9IcSdp1K8H6x8fbOy06t2VsZHhMHf-1x7Y/edit?usp=sharing"",""แผน!BG77"")"),0)</f>
        <v>0</v>
      </c>
      <c r="J249" s="650">
        <v>0</v>
      </c>
      <c r="K249" s="544">
        <f ca="1">IF(I249&gt;0,J249*100/I249,0)</f>
        <v>0</v>
      </c>
      <c r="L249" s="663"/>
      <c r="M249" s="663"/>
      <c r="N249" s="663"/>
      <c r="O249" s="663"/>
      <c r="P249" s="663"/>
    </row>
    <row r="250" spans="1:16" ht="18.75" hidden="1" x14ac:dyDescent="0.25">
      <c r="A250" s="667"/>
      <c r="B250" s="666"/>
      <c r="C250" s="666"/>
      <c r="D250" s="653" t="s">
        <v>41</v>
      </c>
      <c r="E250" s="665"/>
      <c r="F250" s="665"/>
      <c r="G250" s="664"/>
      <c r="H250" s="664"/>
      <c r="I250" s="197"/>
      <c r="J250" s="197"/>
      <c r="K250" s="663"/>
      <c r="L250" s="663"/>
      <c r="M250" s="663"/>
      <c r="N250" s="663"/>
      <c r="O250" s="668"/>
      <c r="P250" s="668"/>
    </row>
    <row r="251" spans="1:16" ht="18.75" hidden="1" x14ac:dyDescent="0.25">
      <c r="A251" s="667"/>
      <c r="B251" s="666"/>
      <c r="C251" s="666"/>
      <c r="D251" s="666"/>
      <c r="E251" s="652" t="s">
        <v>103</v>
      </c>
      <c r="F251" s="665"/>
      <c r="G251" s="664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663"/>
      <c r="M251" s="663"/>
      <c r="N251" s="663"/>
      <c r="O251" s="663"/>
      <c r="P251" s="663"/>
    </row>
    <row r="252" spans="1:16" ht="18.75" hidden="1" x14ac:dyDescent="0.25">
      <c r="A252" s="667"/>
      <c r="B252" s="666"/>
      <c r="C252" s="666"/>
      <c r="D252" s="666"/>
      <c r="E252" s="652" t="s">
        <v>104</v>
      </c>
      <c r="F252" s="665"/>
      <c r="G252" s="664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663"/>
      <c r="M252" s="663"/>
      <c r="N252" s="663"/>
      <c r="O252" s="663"/>
      <c r="P252" s="663"/>
    </row>
    <row r="253" spans="1:16" ht="19.5" hidden="1" x14ac:dyDescent="0.3">
      <c r="A253" s="681"/>
      <c r="B253" s="680"/>
      <c r="C253" s="662" t="s">
        <v>106</v>
      </c>
      <c r="D253" s="679"/>
      <c r="E253" s="679"/>
      <c r="F253" s="679"/>
      <c r="G253" s="678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677"/>
      <c r="M253" s="677"/>
      <c r="N253" s="677"/>
      <c r="O253" s="677"/>
      <c r="P253" s="677"/>
    </row>
    <row r="254" spans="1:16" ht="19.5" hidden="1" x14ac:dyDescent="0.3">
      <c r="A254" s="676"/>
      <c r="B254" s="673"/>
      <c r="C254" s="636" t="s">
        <v>16</v>
      </c>
      <c r="D254" s="658" t="s">
        <v>17</v>
      </c>
      <c r="E254" s="673"/>
      <c r="F254" s="673"/>
      <c r="G254" s="672"/>
      <c r="H254" s="657" t="s">
        <v>12</v>
      </c>
      <c r="I254" s="669"/>
      <c r="J254" s="669"/>
      <c r="K254" s="668"/>
      <c r="L254" s="633">
        <f ca="1">L255+L256+L257+L258</f>
        <v>0</v>
      </c>
      <c r="M254" s="663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676"/>
      <c r="B255" s="674"/>
      <c r="C255" s="673"/>
      <c r="D255" s="546" t="s">
        <v>80</v>
      </c>
      <c r="E255" s="673"/>
      <c r="F255" s="673"/>
      <c r="G255" s="672"/>
      <c r="H255" s="545" t="s">
        <v>12</v>
      </c>
      <c r="I255" s="669"/>
      <c r="J255" s="669"/>
      <c r="K255" s="668"/>
      <c r="L255" s="544">
        <f ca="1">IFERROR(__xludf.DUMMYFUNCTION("IMPORTRANGE(""https://docs.google.com/spreadsheets/d/1eHaY18a8A9IcSdp1K8H6x8fbOy06t2VsZHhMHf-1x7Y/edit?usp=sharing"",""แผน!BB77"")"),0)</f>
        <v>0</v>
      </c>
      <c r="M255" s="663"/>
      <c r="N255" s="656">
        <v>0</v>
      </c>
      <c r="O255" s="663"/>
      <c r="P255" s="663"/>
    </row>
    <row r="256" spans="1:16" ht="18.75" hidden="1" x14ac:dyDescent="0.25">
      <c r="A256" s="675"/>
      <c r="B256" s="674"/>
      <c r="C256" s="674"/>
      <c r="D256" s="546" t="s">
        <v>82</v>
      </c>
      <c r="E256" s="673"/>
      <c r="F256" s="673"/>
      <c r="G256" s="672"/>
      <c r="H256" s="545" t="s">
        <v>12</v>
      </c>
      <c r="I256" s="197"/>
      <c r="J256" s="197"/>
      <c r="K256" s="663"/>
      <c r="L256" s="544">
        <f ca="1">IFERROR(__xludf.DUMMYFUNCTION("IMPORTRANGE(""https://docs.google.com/spreadsheets/d/1eHaY18a8A9IcSdp1K8H6x8fbOy06t2VsZHhMHf-1x7Y/edit?usp=sharing"",""แผน!BC77"")"),0)</f>
        <v>0</v>
      </c>
      <c r="M256" s="663"/>
      <c r="N256" s="656">
        <v>0</v>
      </c>
      <c r="O256" s="663"/>
      <c r="P256" s="663"/>
    </row>
    <row r="257" spans="1:16" ht="18.75" hidden="1" x14ac:dyDescent="0.25">
      <c r="A257" s="675"/>
      <c r="B257" s="674"/>
      <c r="C257" s="674"/>
      <c r="D257" s="546" t="s">
        <v>100</v>
      </c>
      <c r="E257" s="673"/>
      <c r="F257" s="673"/>
      <c r="G257" s="672"/>
      <c r="H257" s="545" t="s">
        <v>12</v>
      </c>
      <c r="I257" s="197"/>
      <c r="J257" s="197"/>
      <c r="K257" s="663"/>
      <c r="L257" s="544">
        <f ca="1">IFERROR(__xludf.DUMMYFUNCTION("IMPORTRANGE(""https://docs.google.com/spreadsheets/d/1eHaY18a8A9IcSdp1K8H6x8fbOy06t2VsZHhMHf-1x7Y/edit?usp=sharing"",""แผน!BD77"")"),0)</f>
        <v>0</v>
      </c>
      <c r="M257" s="663"/>
      <c r="N257" s="656">
        <v>0</v>
      </c>
      <c r="O257" s="663"/>
      <c r="P257" s="663"/>
    </row>
    <row r="258" spans="1:16" ht="18.75" hidden="1" x14ac:dyDescent="0.25">
      <c r="A258" s="675"/>
      <c r="B258" s="674"/>
      <c r="C258" s="674"/>
      <c r="D258" s="546" t="s">
        <v>101</v>
      </c>
      <c r="E258" s="673"/>
      <c r="F258" s="673"/>
      <c r="G258" s="672"/>
      <c r="H258" s="545" t="s">
        <v>12</v>
      </c>
      <c r="I258" s="197"/>
      <c r="J258" s="197"/>
      <c r="K258" s="663"/>
      <c r="L258" s="544">
        <f ca="1">IFERROR(__xludf.DUMMYFUNCTION("IMPORTRANGE(""https://docs.google.com/spreadsheets/d/1eHaY18a8A9IcSdp1K8H6x8fbOy06t2VsZHhMHf-1x7Y/edit?usp=sharing"",""แผน!BE77"")"),0)</f>
        <v>0</v>
      </c>
      <c r="M258" s="663"/>
      <c r="N258" s="656">
        <v>0</v>
      </c>
      <c r="O258" s="663"/>
      <c r="P258" s="663"/>
    </row>
    <row r="259" spans="1:16" ht="19.5" hidden="1" x14ac:dyDescent="0.3">
      <c r="A259" s="667"/>
      <c r="B259" s="666"/>
      <c r="C259" s="655" t="s">
        <v>16</v>
      </c>
      <c r="D259" s="630" t="s">
        <v>36</v>
      </c>
      <c r="E259" s="671"/>
      <c r="F259" s="671"/>
      <c r="G259" s="670"/>
      <c r="H259" s="664"/>
      <c r="I259" s="669"/>
      <c r="J259" s="197"/>
      <c r="K259" s="663"/>
      <c r="L259" s="663"/>
      <c r="M259" s="663"/>
      <c r="N259" s="663"/>
      <c r="O259" s="668"/>
      <c r="P259" s="668"/>
    </row>
    <row r="260" spans="1:16" ht="18.75" hidden="1" x14ac:dyDescent="0.25">
      <c r="A260" s="667"/>
      <c r="B260" s="666"/>
      <c r="C260" s="666"/>
      <c r="D260" s="654" t="s">
        <v>102</v>
      </c>
      <c r="E260" s="665"/>
      <c r="F260" s="665"/>
      <c r="G260" s="664"/>
      <c r="H260" s="651" t="s">
        <v>33</v>
      </c>
      <c r="I260" s="199">
        <f ca="1">IFERROR(__xludf.DUMMYFUNCTION("IMPORTRANGE(""https://docs.google.com/spreadsheets/d/1eHaY18a8A9IcSdp1K8H6x8fbOy06t2VsZHhMHf-1x7Y/edit?usp=sharing"",""แผน!BH77"")"),0)</f>
        <v>0</v>
      </c>
      <c r="J260" s="650">
        <v>0</v>
      </c>
      <c r="K260" s="544">
        <f ca="1">IF(I260&gt;0,J260*100/I260,0)</f>
        <v>0</v>
      </c>
      <c r="L260" s="663"/>
      <c r="M260" s="663"/>
      <c r="N260" s="663"/>
      <c r="O260" s="663"/>
      <c r="P260" s="663"/>
    </row>
    <row r="261" spans="1:16" ht="18.75" hidden="1" x14ac:dyDescent="0.25">
      <c r="A261" s="667"/>
      <c r="B261" s="666"/>
      <c r="C261" s="666"/>
      <c r="D261" s="653" t="s">
        <v>41</v>
      </c>
      <c r="E261" s="665"/>
      <c r="F261" s="665"/>
      <c r="G261" s="664"/>
      <c r="H261" s="664"/>
      <c r="I261" s="197"/>
      <c r="J261" s="197"/>
      <c r="K261" s="663"/>
      <c r="L261" s="663"/>
      <c r="M261" s="663"/>
      <c r="N261" s="663"/>
      <c r="O261" s="668"/>
      <c r="P261" s="668"/>
    </row>
    <row r="262" spans="1:16" ht="18.75" hidden="1" x14ac:dyDescent="0.25">
      <c r="A262" s="667"/>
      <c r="B262" s="666"/>
      <c r="C262" s="666"/>
      <c r="D262" s="666"/>
      <c r="E262" s="652" t="s">
        <v>103</v>
      </c>
      <c r="F262" s="665"/>
      <c r="G262" s="664"/>
      <c r="H262" s="651" t="s">
        <v>33</v>
      </c>
      <c r="I262" s="197"/>
      <c r="J262" s="650">
        <v>0</v>
      </c>
      <c r="K262" s="544">
        <f>IF(I262&gt;0,J262*100/I262,0)</f>
        <v>0</v>
      </c>
      <c r="L262" s="663"/>
      <c r="M262" s="663"/>
      <c r="N262" s="663"/>
      <c r="O262" s="663"/>
      <c r="P262" s="663"/>
    </row>
    <row r="263" spans="1:16" ht="18.75" hidden="1" x14ac:dyDescent="0.25">
      <c r="A263" s="667"/>
      <c r="B263" s="666"/>
      <c r="C263" s="666"/>
      <c r="D263" s="666"/>
      <c r="E263" s="652" t="s">
        <v>104</v>
      </c>
      <c r="F263" s="665"/>
      <c r="G263" s="664"/>
      <c r="H263" s="651" t="s">
        <v>54</v>
      </c>
      <c r="I263" s="197"/>
      <c r="J263" s="650">
        <v>0</v>
      </c>
      <c r="K263" s="544">
        <f>IF(I263&gt;0,J263*100/I263,0)</f>
        <v>0</v>
      </c>
      <c r="L263" s="663"/>
      <c r="M263" s="663"/>
      <c r="N263" s="663"/>
      <c r="O263" s="663"/>
      <c r="P263" s="663"/>
    </row>
    <row r="264" spans="1:16" ht="19.5" hidden="1" x14ac:dyDescent="0.3">
      <c r="A264" s="649" t="s">
        <v>107</v>
      </c>
      <c r="B264" s="888"/>
      <c r="C264" s="888"/>
      <c r="D264" s="887"/>
      <c r="E264" s="887"/>
      <c r="F264" s="887"/>
      <c r="G264" s="886"/>
      <c r="H264" s="886"/>
      <c r="I264" s="885"/>
      <c r="J264" s="885"/>
      <c r="K264" s="884"/>
      <c r="L264" s="884"/>
      <c r="M264" s="884"/>
      <c r="N264" s="884"/>
      <c r="O264" s="884"/>
      <c r="P264" s="884"/>
    </row>
    <row r="265" spans="1:16" ht="19.5" hidden="1" x14ac:dyDescent="0.3">
      <c r="A265" s="883"/>
      <c r="B265" s="642" t="s">
        <v>108</v>
      </c>
      <c r="C265" s="882"/>
      <c r="D265" s="671"/>
      <c r="E265" s="671"/>
      <c r="F265" s="671"/>
      <c r="G265" s="670"/>
      <c r="H265" s="640" t="s">
        <v>33</v>
      </c>
      <c r="I265" s="881">
        <f>I276</f>
        <v>0</v>
      </c>
      <c r="J265" s="881">
        <f>J276</f>
        <v>0</v>
      </c>
      <c r="K265" s="638">
        <f>IF(I265&gt;0,J265*100/I265,0)</f>
        <v>0</v>
      </c>
      <c r="L265" s="880"/>
      <c r="M265" s="880"/>
      <c r="N265" s="880"/>
      <c r="O265" s="880"/>
      <c r="P265" s="880"/>
    </row>
    <row r="266" spans="1:16" ht="19.5" hidden="1" x14ac:dyDescent="0.3">
      <c r="A266" s="676"/>
      <c r="B266" s="673"/>
      <c r="C266" s="636" t="s">
        <v>16</v>
      </c>
      <c r="D266" s="635" t="s">
        <v>17</v>
      </c>
      <c r="E266" s="673"/>
      <c r="F266" s="673"/>
      <c r="G266" s="672"/>
      <c r="H266" s="634" t="s">
        <v>12</v>
      </c>
      <c r="I266" s="197"/>
      <c r="J266" s="197"/>
      <c r="K266" s="663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676"/>
      <c r="B267" s="673"/>
      <c r="C267" s="673"/>
      <c r="D267" s="673"/>
      <c r="E267" s="546" t="s">
        <v>18</v>
      </c>
      <c r="F267" s="673"/>
      <c r="G267" s="672"/>
      <c r="H267" s="549" t="s">
        <v>12</v>
      </c>
      <c r="I267" s="197"/>
      <c r="J267" s="197"/>
      <c r="K267" s="663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676"/>
      <c r="B268" s="673"/>
      <c r="C268" s="673"/>
      <c r="D268" s="673"/>
      <c r="E268" s="546" t="s">
        <v>19</v>
      </c>
      <c r="F268" s="673"/>
      <c r="G268" s="672"/>
      <c r="H268" s="549" t="s">
        <v>12</v>
      </c>
      <c r="I268" s="197"/>
      <c r="J268" s="197"/>
      <c r="K268" s="663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676"/>
      <c r="B269" s="673"/>
      <c r="C269" s="673"/>
      <c r="D269" s="632" t="s">
        <v>20</v>
      </c>
      <c r="E269" s="673"/>
      <c r="F269" s="673"/>
      <c r="G269" s="672"/>
      <c r="H269" s="545" t="s">
        <v>12</v>
      </c>
      <c r="I269" s="669"/>
      <c r="J269" s="669"/>
      <c r="K269" s="668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676"/>
      <c r="B270" s="673"/>
      <c r="C270" s="673"/>
      <c r="D270" s="673"/>
      <c r="E270" s="546" t="s">
        <v>34</v>
      </c>
      <c r="F270" s="673"/>
      <c r="G270" s="672"/>
      <c r="H270" s="545" t="s">
        <v>12</v>
      </c>
      <c r="I270" s="669"/>
      <c r="J270" s="669"/>
      <c r="K270" s="668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676"/>
      <c r="B271" s="673"/>
      <c r="C271" s="673"/>
      <c r="D271" s="673"/>
      <c r="E271" s="546" t="s">
        <v>35</v>
      </c>
      <c r="F271" s="673"/>
      <c r="G271" s="672"/>
      <c r="H271" s="545" t="s">
        <v>12</v>
      </c>
      <c r="I271" s="669"/>
      <c r="J271" s="669"/>
      <c r="K271" s="668"/>
      <c r="L271" s="544">
        <f ca="1">IFERROR(__xludf.DUMMYFUNCTION("IMPORTRANGE(""https://docs.google.com/spreadsheets/d/1-uDff_7J0KD5mKrp0Vvzr7lt3OU09vwQwhkpOPPYv2Y/edit?usp=sharing"",""งบพรบ!DE77"")"),0)</f>
        <v>0</v>
      </c>
      <c r="M271" s="544">
        <f ca="1">IFERROR(__xludf.DUMMYFUNCTION("IMPORTRANGE(""https://docs.google.com/spreadsheets/d/1-uDff_7J0KD5mKrp0Vvzr7lt3OU09vwQwhkpOPPYv2Y/edit?usp=sharing"",""งบพรบ!DJ77"")"),0)</f>
        <v>0</v>
      </c>
      <c r="N271" s="544">
        <f ca="1">IFERROR(__xludf.DUMMYFUNCTION("IMPORTRANGE(""https://docs.google.com/spreadsheets/d/1-uDff_7J0KD5mKrp0Vvzr7lt3OU09vwQwhkpOPPYv2Y/edit?usp=sharing"",""งบพรบ!DL77"")"),0)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676"/>
      <c r="B272" s="673"/>
      <c r="C272" s="673"/>
      <c r="D272" s="632" t="s">
        <v>21</v>
      </c>
      <c r="E272" s="673"/>
      <c r="F272" s="673"/>
      <c r="G272" s="672"/>
      <c r="H272" s="631" t="s">
        <v>12</v>
      </c>
      <c r="I272" s="669"/>
      <c r="J272" s="669"/>
      <c r="K272" s="668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676"/>
      <c r="B273" s="673"/>
      <c r="C273" s="673"/>
      <c r="D273" s="673"/>
      <c r="E273" s="546" t="s">
        <v>18</v>
      </c>
      <c r="F273" s="673"/>
      <c r="G273" s="672"/>
      <c r="H273" s="545" t="s">
        <v>12</v>
      </c>
      <c r="I273" s="669"/>
      <c r="J273" s="669"/>
      <c r="K273" s="668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676"/>
      <c r="B274" s="673"/>
      <c r="C274" s="673"/>
      <c r="D274" s="673"/>
      <c r="E274" s="546" t="s">
        <v>19</v>
      </c>
      <c r="F274" s="673"/>
      <c r="G274" s="672"/>
      <c r="H274" s="631" t="s">
        <v>12</v>
      </c>
      <c r="I274" s="669"/>
      <c r="J274" s="669"/>
      <c r="K274" s="668"/>
      <c r="L274" s="544">
        <f ca="1">IFERROR(__xludf.DUMMYFUNCTION("IMPORTRANGE(""https://docs.google.com/spreadsheets/d/1-uDff_7J0KD5mKrp0Vvzr7lt3OU09vwQwhkpOPPYv2Y/edit?usp=sharing"",""งบพรบ!DH77"")"),0)</f>
        <v>0</v>
      </c>
      <c r="M274" s="544">
        <f ca="1">IFERROR(__xludf.DUMMYFUNCTION("IMPORTRANGE(""https://docs.google.com/spreadsheets/d/1-uDff_7J0KD5mKrp0Vvzr7lt3OU09vwQwhkpOPPYv2Y/edit?usp=sharing"",""งบพรบ!DK77"")"),0)</f>
        <v>0</v>
      </c>
      <c r="N274" s="544">
        <f ca="1">IFERROR(__xludf.DUMMYFUNCTION("IMPORTRANGE(""https://docs.google.com/spreadsheets/d/1-uDff_7J0KD5mKrp0Vvzr7lt3OU09vwQwhkpOPPYv2Y/edit?usp=sharing"",""งบพรบ!DM77"")"),0)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667"/>
      <c r="B275" s="666"/>
      <c r="C275" s="546" t="s">
        <v>16</v>
      </c>
      <c r="D275" s="630" t="s">
        <v>36</v>
      </c>
      <c r="E275" s="671"/>
      <c r="F275" s="671"/>
      <c r="G275" s="670"/>
      <c r="H275" s="664"/>
      <c r="I275" s="669"/>
      <c r="J275" s="669"/>
      <c r="K275" s="668"/>
      <c r="L275" s="668"/>
      <c r="M275" s="668"/>
      <c r="N275" s="668"/>
      <c r="O275" s="668"/>
      <c r="P275" s="668"/>
    </row>
    <row r="276" spans="1:16" ht="12.75" hidden="1" x14ac:dyDescent="0.2">
      <c r="A276" s="184"/>
      <c r="B276" s="185"/>
      <c r="C276" s="185"/>
      <c r="D276" s="187"/>
      <c r="E276" s="187"/>
      <c r="F276" s="187"/>
      <c r="G276" s="188"/>
      <c r="H276" s="188"/>
      <c r="I276" s="196"/>
      <c r="J276" s="196"/>
      <c r="K276" s="198"/>
      <c r="L276" s="198"/>
      <c r="M276" s="198"/>
      <c r="N276" s="198"/>
      <c r="O276" s="198"/>
      <c r="P276" s="198"/>
    </row>
    <row r="277" spans="1:16" ht="18.75" hidden="1" x14ac:dyDescent="0.25">
      <c r="A277" s="879"/>
      <c r="B277" s="878"/>
      <c r="C277" s="878"/>
      <c r="D277" s="627" t="s">
        <v>109</v>
      </c>
      <c r="E277" s="877"/>
      <c r="F277" s="877"/>
      <c r="G277" s="876"/>
      <c r="H277" s="624" t="s">
        <v>33</v>
      </c>
      <c r="I277" s="623">
        <v>0</v>
      </c>
      <c r="J277" s="623">
        <v>0</v>
      </c>
      <c r="K277" s="622">
        <v>0</v>
      </c>
      <c r="L277" s="875"/>
      <c r="M277" s="875"/>
      <c r="N277" s="875"/>
      <c r="O277" s="875"/>
      <c r="P277" s="875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IFERROR(__xludf.DUMMYFUNCTION("IMPORTRANGE(""https://docs.google.com/spreadsheets/d/1-uDff_7J0KD5mKrp0Vvzr7lt3OU09vwQwhkpOPPYv2Y/edit?usp=sharing"",""งบพรบ!DO77"")"),0)</f>
        <v>0</v>
      </c>
      <c r="M287" s="425">
        <f ca="1">IFERROR(__xludf.DUMMYFUNCTION("IMPORTRANGE(""https://docs.google.com/spreadsheets/d/1-uDff_7J0KD5mKrp0Vvzr7lt3OU09vwQwhkpOPPYv2Y/edit?usp=sharing"",""งบพรบ!DT77"")"),0)</f>
        <v>0</v>
      </c>
      <c r="N287" s="425">
        <f ca="1">IFERROR(__xludf.DUMMYFUNCTION("IMPORTRANGE(""https://docs.google.com/spreadsheets/d/1-uDff_7J0KD5mKrp0Vvzr7lt3OU09vwQwhkpOPPYv2Y/edit?usp=sharing"",""งบพรบ!DV77"")"),0)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IFERROR(__xludf.DUMMYFUNCTION("IMPORTRANGE(""https://docs.google.com/spreadsheets/d/1-uDff_7J0KD5mKrp0Vvzr7lt3OU09vwQwhkpOPPYv2Y/edit?usp=sharing"",""งบพรบ!DR77"")"),0)</f>
        <v>0</v>
      </c>
      <c r="M290" s="425">
        <f ca="1">IFERROR(__xludf.DUMMYFUNCTION("IMPORTRANGE(""https://docs.google.com/spreadsheets/d/1-uDff_7J0KD5mKrp0Vvzr7lt3OU09vwQwhkpOPPYv2Y/edit?usp=sharing"",""งบพรบ!DU77"")"),0)</f>
        <v>0</v>
      </c>
      <c r="N290" s="425">
        <f ca="1">IFERROR(__xludf.DUMMYFUNCTION("IMPORTRANGE(""https://docs.google.com/spreadsheets/d/1-uDff_7J0KD5mKrp0Vvzr7lt3OU09vwQwhkpOPPYv2Y/edit?usp=sharing"",""งบพรบ!DW77"")"),0)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IFERROR(__xludf.DUMMYFUNCTION("IMPORTRANGE(""https://docs.google.com/spreadsheets/d/1eHaY18a8A9IcSdp1K8H6x8fbOy06t2VsZHhMHf-1x7Y/edit?usp=sharing"",""แผน!EE77"")"),0)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IFERROR(__xludf.DUMMYFUNCTION("IMPORTRANGE(""https://docs.google.com/spreadsheets/d/1eHaY18a8A9IcSdp1K8H6x8fbOy06t2VsZHhMHf-1x7Y/edit?usp=sharing"",""แผน!ED77"")"),0)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IFERROR(__xludf.DUMMYFUNCTION("IMPORTRANGE(""https://docs.google.com/spreadsheets/d/1eHaY18a8A9IcSdp1K8H6x8fbOy06t2VsZHhMHf-1x7Y/edit?usp=sharing"",""แผน!ED77"")"),0)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IFERROR(__xludf.DUMMYFUNCTION("IMPORTRANGE(""https://docs.google.com/spreadsheets/d/1eHaY18a8A9IcSdp1K8H6x8fbOy06t2VsZHhMHf-1x7Y/edit?usp=sharing"",""แผน!ED77"")"),0)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IFERROR(__xludf.DUMMYFUNCTION("IMPORTRANGE(""https://docs.google.com/spreadsheets/d/1-uDff_7J0KD5mKrp0Vvzr7lt3OU09vwQwhkpOPPYv2Y/edit?usp=sharing"",""งบพรบ!DY77"")"),0)</f>
        <v>0</v>
      </c>
      <c r="M308" s="425">
        <f ca="1">IFERROR(__xludf.DUMMYFUNCTION("IMPORTRANGE(""https://docs.google.com/spreadsheets/d/1-uDff_7J0KD5mKrp0Vvzr7lt3OU09vwQwhkpOPPYv2Y/edit?usp=sharing"",""งบพรบ!ED77"")"),0)</f>
        <v>0</v>
      </c>
      <c r="N308" s="425">
        <f ca="1">IFERROR(__xludf.DUMMYFUNCTION("IMPORTRANGE(""https://docs.google.com/spreadsheets/d/1-uDff_7J0KD5mKrp0Vvzr7lt3OU09vwQwhkpOPPYv2Y/edit?usp=sharing"",""งบพรบ!EF77"")"),0)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IFERROR(__xludf.DUMMYFUNCTION("IMPORTRANGE(""https://docs.google.com/spreadsheets/d/1-uDff_7J0KD5mKrp0Vvzr7lt3OU09vwQwhkpOPPYv2Y/edit?usp=sharing"",""งบพรบ!EB77"")"),0)</f>
        <v>0</v>
      </c>
      <c r="M311" s="425">
        <f ca="1">IFERROR(__xludf.DUMMYFUNCTION("IMPORTRANGE(""https://docs.google.com/spreadsheets/d/1-uDff_7J0KD5mKrp0Vvzr7lt3OU09vwQwhkpOPPYv2Y/edit?usp=sharing"",""งบพรบ!EE77"")"),0)</f>
        <v>0</v>
      </c>
      <c r="N311" s="425">
        <f ca="1">IFERROR(__xludf.DUMMYFUNCTION("IMPORTRANGE(""https://docs.google.com/spreadsheets/d/1-uDff_7J0KD5mKrp0Vvzr7lt3OU09vwQwhkpOPPYv2Y/edit?usp=sharing"",""งบพรบ!EG77"")"),0)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IFERROR(__xludf.DUMMYFUNCTION("IMPORTRANGE(""https://docs.google.com/spreadsheets/d/1eHaY18a8A9IcSdp1K8H6x8fbOy06t2VsZHhMHf-1x7Y/edit?usp=sharing"",""แผน!EF77"")"),0)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IFERROR(__xludf.DUMMYFUNCTION("IMPORTRANGE(""https://docs.google.com/spreadsheets/d/1eHaY18a8A9IcSdp1K8H6x8fbOy06t2VsZHhMHf-1x7Y/edit?usp=sharing"",""แผน!EG77"")"),0)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IFERROR(__xludf.DUMMYFUNCTION("IMPORTRANGE(""https://docs.google.com/spreadsheets/d/1eHaY18a8A9IcSdp1K8H6x8fbOy06t2VsZHhMHf-1x7Y/edit?usp=sharing"",""แผน!EH77"")"),0)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IFERROR(__xludf.DUMMYFUNCTION("IMPORTRANGE(""https://docs.google.com/spreadsheets/d/1eHaY18a8A9IcSdp1K8H6x8fbOy06t2VsZHhMHf-1x7Y/edit?usp=sharing"",""แผน!EI77"")"),0)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IFERROR(__xludf.DUMMYFUNCTION("IMPORTRANGE(""https://docs.google.com/spreadsheets/d/1-uDff_7J0KD5mKrp0Vvzr7lt3OU09vwQwhkpOPPYv2Y/edit?usp=sharing"",""งบพรบ!EI77"")"),0)</f>
        <v>0</v>
      </c>
      <c r="M325" s="425">
        <f ca="1">IFERROR(__xludf.DUMMYFUNCTION("IMPORTRANGE(""https://docs.google.com/spreadsheets/d/1-uDff_7J0KD5mKrp0Vvzr7lt3OU09vwQwhkpOPPYv2Y/edit?usp=sharing"",""งบพรบ!EN77"")"),0)</f>
        <v>0</v>
      </c>
      <c r="N325" s="425">
        <f ca="1">IFERROR(__xludf.DUMMYFUNCTION("IMPORTRANGE(""https://docs.google.com/spreadsheets/d/1-uDff_7J0KD5mKrp0Vvzr7lt3OU09vwQwhkpOPPYv2Y/edit?usp=sharing"",""งบพรบ!EP77"")"),0)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IFERROR(__xludf.DUMMYFUNCTION("IMPORTRANGE(""https://docs.google.com/spreadsheets/d/1-uDff_7J0KD5mKrp0Vvzr7lt3OU09vwQwhkpOPPYv2Y/edit?usp=sharing"",""งบพรบ!EL77"")"),0)</f>
        <v>0</v>
      </c>
      <c r="M328" s="425">
        <f ca="1">IFERROR(__xludf.DUMMYFUNCTION("IMPORTRANGE(""https://docs.google.com/spreadsheets/d/1-uDff_7J0KD5mKrp0Vvzr7lt3OU09vwQwhkpOPPYv2Y/edit?usp=sharing"",""งบพรบ!EO77"")"),0)</f>
        <v>0</v>
      </c>
      <c r="N328" s="425">
        <f ca="1">IFERROR(__xludf.DUMMYFUNCTION("IMPORTRANGE(""https://docs.google.com/spreadsheets/d/1-uDff_7J0KD5mKrp0Vvzr7lt3OU09vwQwhkpOPPYv2Y/edit?usp=sharing"",""งบพรบ!EQ77"")"),0)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IFERROR(__xludf.DUMMYFUNCTION("IMPORTRANGE(""https://docs.google.com/spreadsheets/d/1eHaY18a8A9IcSdp1K8H6x8fbOy06t2VsZHhMHf-1x7Y/edit?usp=sharing"",""แผน!EJ77"")"),0)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1140</v>
      </c>
      <c r="J332" s="402">
        <f ca="1">J344+J347+J348+J349+J353</f>
        <v>2443</v>
      </c>
      <c r="K332" s="403">
        <f ca="1">IF(I332&gt;0,J332*100/I332,0)</f>
        <v>214.2982456140351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106000</v>
      </c>
      <c r="M333" s="550">
        <f ca="1">M334+M335</f>
        <v>85750</v>
      </c>
      <c r="N333" s="550">
        <f ca="1">N334+N335</f>
        <v>32928.33</v>
      </c>
      <c r="O333" s="550">
        <f ca="1">IF(L333&gt;0,N333*100/L333,0)</f>
        <v>31.064462264150944</v>
      </c>
      <c r="P333" s="550">
        <f ca="1">IF(M333&gt;0,N333*100/M333,0)</f>
        <v>38.400384839650144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106000</v>
      </c>
      <c r="M335" s="425">
        <f ca="1">M338+M341</f>
        <v>85750</v>
      </c>
      <c r="N335" s="425">
        <f ca="1">N338+N341</f>
        <v>32928.33</v>
      </c>
      <c r="O335" s="425">
        <f ca="1">IF(L335&gt;0,N335*100/L335,0)</f>
        <v>31.064462264150944</v>
      </c>
      <c r="P335" s="425">
        <f ca="1">IF(M335&gt;0,N335*100/M335,0)</f>
        <v>38.400384839650144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106000</v>
      </c>
      <c r="M336" s="425">
        <f ca="1">M337+M338</f>
        <v>85750</v>
      </c>
      <c r="N336" s="425">
        <f ca="1">N337+N338</f>
        <v>32928.33</v>
      </c>
      <c r="O336" s="425">
        <f ca="1">IF(L336&gt;0,N336*100/L336,0)</f>
        <v>31.064462264150944</v>
      </c>
      <c r="P336" s="425">
        <f ca="1">IF(M336&gt;0,N336*100/M336,0)</f>
        <v>38.400384839650144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IFERROR(__xludf.DUMMYFUNCTION("IMPORTRANGE(""https://docs.google.com/spreadsheets/d/1-uDff_7J0KD5mKrp0Vvzr7lt3OU09vwQwhkpOPPYv2Y/edit?usp=sharing"",""งบพรบ!ES77"")"),106000)</f>
        <v>106000</v>
      </c>
      <c r="M338" s="425">
        <f ca="1">IFERROR(__xludf.DUMMYFUNCTION("IMPORTRANGE(""https://docs.google.com/spreadsheets/d/1-uDff_7J0KD5mKrp0Vvzr7lt3OU09vwQwhkpOPPYv2Y/edit?usp=sharing"",""งบพรบ!EX77"")"),85750)</f>
        <v>85750</v>
      </c>
      <c r="N338" s="425">
        <f ca="1">IFERROR(__xludf.DUMMYFUNCTION("IMPORTRANGE(""https://docs.google.com/spreadsheets/d/1-uDff_7J0KD5mKrp0Vvzr7lt3OU09vwQwhkpOPPYv2Y/edit?usp=sharing"",""งบพรบ!EZ77"")"),32928.33)</f>
        <v>32928.33</v>
      </c>
      <c r="O338" s="425">
        <f ca="1">IF(L338&gt;0,N338*100/L338,0)</f>
        <v>31.064462264150944</v>
      </c>
      <c r="P338" s="425">
        <f ca="1">IF(M338&gt;0,N338*100/M338,0)</f>
        <v>38.400384839650144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IFERROR(__xludf.DUMMYFUNCTION("IMPORTRANGE(""https://docs.google.com/spreadsheets/d/1-uDff_7J0KD5mKrp0Vvzr7lt3OU09vwQwhkpOPPYv2Y/edit?usp=sharing"",""งบพรบ!EV77"")"),0)</f>
        <v>0</v>
      </c>
      <c r="M341" s="425">
        <f ca="1">IFERROR(__xludf.DUMMYFUNCTION("IMPORTRANGE(""https://docs.google.com/spreadsheets/d/1-uDff_7J0KD5mKrp0Vvzr7lt3OU09vwQwhkpOPPYv2Y/edit?usp=sharing"",""งบพรบ!EY77"")"),0)</f>
        <v>0</v>
      </c>
      <c r="N341" s="425">
        <f ca="1">IFERROR(__xludf.DUMMYFUNCTION("IMPORTRANGE(""https://docs.google.com/spreadsheets/d/1-uDff_7J0KD5mKrp0Vvzr7lt3OU09vwQwhkpOPPYv2Y/edit?usp=sharing"",""งบพรบ!FA77"")"),0)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1444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IFERROR(__xludf.DUMMYFUNCTION("IMPORTRANGE(""https://docs.google.com/spreadsheets/d/1eHaY18a8A9IcSdp1K8H6x8fbOy06t2VsZHhMHf-1x7Y/edit?usp=sharing"",""แผน!EK77"")"),1140)</f>
        <v>1140</v>
      </c>
      <c r="J344" s="424">
        <f ca="1">IFERROR(__xludf.DUMMYFUNCTION("IMPORTRANGE(""https://docs.google.com/spreadsheets/d/1awYsYK3VOup2i3Pq_Yjnu8DRu_mYwSBnCR2QPthd0rU/edit?usp=sharing"",""ศูนย์ยกเว้นโฉนด!D77"")"),1444)</f>
        <v>1444</v>
      </c>
      <c r="K344" s="425">
        <f ca="1">IF(I344&gt;0,J344*100/I344,0)</f>
        <v>126.66666666666667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IFERROR(__xludf.DUMMYFUNCTION("IMPORTRANGE(""https://docs.google.com/spreadsheets/d/1eHaY18a8A9IcSdp1K8H6x8fbOy06t2VsZHhMHf-1x7Y/edit?usp=sharing"",""แผน!EL77"")"),3)</f>
        <v>3</v>
      </c>
      <c r="J346" s="424">
        <f ca="1">IFERROR(__xludf.DUMMYFUNCTION("IMPORTRANGE(""https://docs.google.com/spreadsheets/d/1awYsYK3VOup2i3Pq_Yjnu8DRu_mYwSBnCR2QPthd0rU/edit?usp=sharing"",""ศูนย์รวม!E77"")"),6)</f>
        <v>6</v>
      </c>
      <c r="K346" s="425">
        <f ca="1">IF(I346&gt;0,J346*100/I346,0)</f>
        <v>200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IFERROR(__xludf.DUMMYFUNCTION("IMPORTRANGE(""https://docs.google.com/spreadsheets/d/1awYsYK3VOup2i3Pq_Yjnu8DRu_mYwSBnCR2QPthd0rU/edit?usp=sharing"",""ศูนย์ยกเว้นโฉนด!F77"")"),0)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IFERROR(__xludf.DUMMYFUNCTION("IMPORTRANGE(""https://docs.google.com/spreadsheets/d/1awYsYK3VOup2i3Pq_Yjnu8DRu_mYwSBnCR2QPthd0rU/edit?usp=sharing"",""ศูนย์ยกเว้นโฉนด!G77"")"),0)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IFERROR(__xludf.DUMMYFUNCTION("IMPORTRANGE(""https://docs.google.com/spreadsheets/d/1awYsYK3VOup2i3Pq_Yjnu8DRu_mYwSBnCR2QPthd0rU/edit?usp=sharing"",""ศูนย์ยกเว้นโฉนด!H77"")"),0)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4204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IFERROR(__xludf.DUMMYFUNCTION("IMPORTRANGE(""https://docs.google.com/spreadsheets/d/1awYsYK3VOup2i3Pq_Yjnu8DRu_mYwSBnCR2QPthd0rU/edit?usp=sharing"",""โฉนดM3!G77"")"),3205)</f>
        <v>3205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IFERROR(__xludf.DUMMYFUNCTION("IMPORTRANGE(""https://docs.google.com/spreadsheets/d/1awYsYK3VOup2i3Pq_Yjnu8DRu_mYwSBnCR2QPthd0rU/edit?usp=sharing"",""โฉนดM3!H77"")"),999)</f>
        <v>999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498260</v>
      </c>
      <c r="M356" s="550">
        <f ca="1">M357+M358</f>
        <v>379060</v>
      </c>
      <c r="N356" s="550">
        <f ca="1">N357+N358</f>
        <v>81912.17</v>
      </c>
      <c r="O356" s="550">
        <f ca="1">IF(L356&gt;0,N356*100/L356,0)</f>
        <v>16.439643960984224</v>
      </c>
      <c r="P356" s="550">
        <f ca="1">IF(M356&gt;0,N356*100/M356,0)</f>
        <v>21.609288766949824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498260</v>
      </c>
      <c r="M358" s="425">
        <f ca="1">M361+M364</f>
        <v>379060</v>
      </c>
      <c r="N358" s="425">
        <f ca="1">N361+N364</f>
        <v>81912.17</v>
      </c>
      <c r="O358" s="425">
        <f ca="1">IF(L358&gt;0,N358*100/L358,0)</f>
        <v>16.439643960984224</v>
      </c>
      <c r="P358" s="425">
        <f ca="1">IF(M358&gt;0,N358*100/M358,0)</f>
        <v>21.609288766949824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498260</v>
      </c>
      <c r="M359" s="425">
        <f ca="1">M360+M361</f>
        <v>379060</v>
      </c>
      <c r="N359" s="425">
        <f ca="1">N360+N361</f>
        <v>81912.17</v>
      </c>
      <c r="O359" s="425">
        <f ca="1">IF(L359&gt;0,N359*100/L359,0)</f>
        <v>16.439643960984224</v>
      </c>
      <c r="P359" s="425">
        <f ca="1">IF(M359&gt;0,N359*100/M359,0)</f>
        <v>21.609288766949824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IFERROR(__xludf.DUMMYFUNCTION("IMPORTRANGE(""https://docs.google.com/spreadsheets/d/1-uDff_7J0KD5mKrp0Vvzr7lt3OU09vwQwhkpOPPYv2Y/edit?usp=sharing"",""งบพรบ!FC77"")"),498260)</f>
        <v>498260</v>
      </c>
      <c r="M361" s="425">
        <f ca="1">IFERROR(__xludf.DUMMYFUNCTION("IMPORTRANGE(""https://docs.google.com/spreadsheets/d/1-uDff_7J0KD5mKrp0Vvzr7lt3OU09vwQwhkpOPPYv2Y/edit?usp=sharing"",""งบพรบ!FH77"")"),379060)</f>
        <v>379060</v>
      </c>
      <c r="N361" s="425">
        <f ca="1">IFERROR(__xludf.DUMMYFUNCTION("IMPORTRANGE(""https://docs.google.com/spreadsheets/d/1-uDff_7J0KD5mKrp0Vvzr7lt3OU09vwQwhkpOPPYv2Y/edit?usp=sharing"",""งบพรบ!FJ77"")"),81912.17)</f>
        <v>81912.17</v>
      </c>
      <c r="O361" s="425">
        <f ca="1">IF(L361&gt;0,N361*100/L361,0)</f>
        <v>16.439643960984224</v>
      </c>
      <c r="P361" s="425">
        <f ca="1">IF(M361&gt;0,N361*100/M361,0)</f>
        <v>21.609288766949824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IFERROR(__xludf.DUMMYFUNCTION("IMPORTRANGE(""https://docs.google.com/spreadsheets/d/1-uDff_7J0KD5mKrp0Vvzr7lt3OU09vwQwhkpOPPYv2Y/edit?usp=sharing"",""งบพรบ!FF77"")"),0)</f>
        <v>0</v>
      </c>
      <c r="M364" s="425">
        <f ca="1">IFERROR(__xludf.DUMMYFUNCTION("IMPORTRANGE(""https://docs.google.com/spreadsheets/d/1-uDff_7J0KD5mKrp0Vvzr7lt3OU09vwQwhkpOPPYv2Y/edit?usp=sharing"",""งบพรบ!FI77"")"),0)</f>
        <v>0</v>
      </c>
      <c r="N364" s="425">
        <f ca="1">IFERROR(__xludf.DUMMYFUNCTION("IMPORTRANGE(""https://docs.google.com/spreadsheets/d/1-uDff_7J0KD5mKrp0Vvzr7lt3OU09vwQwhkpOPPYv2Y/edit?usp=sharing"",""งบพรบ!FK77"")"),0)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63</v>
      </c>
      <c r="J365" s="438">
        <f ca="1">J371</f>
        <v>25</v>
      </c>
      <c r="K365" s="439">
        <f ca="1">IF(I365&gt;0,J365*100/I365,0)</f>
        <v>39.682539682539684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IFERROR(__xludf.DUMMYFUNCTION("IMPORTRANGE(""https://docs.google.com/spreadsheets/d/1tdoBKaGub7dwA3U6UFTqxio9LNnvDCQjHKmttSEBsFQ/edit?usp=sharing"",""จัดที่ดิน!AB77"")"),57)</f>
        <v>57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IFERROR(__xludf.DUMMYFUNCTION("IMPORTRANGE(""https://docs.google.com/spreadsheets/d/1eHaY18a8A9IcSdp1K8H6x8fbOy06t2VsZHhMHf-1x7Y/edit?usp=sharing"",""แผน!EW77"")"),490)</f>
        <v>490</v>
      </c>
      <c r="J368" s="528">
        <f ca="1">IFERROR(__xludf.DUMMYFUNCTION("IMPORTRANGE(""https://docs.google.com/spreadsheets/d/1tdoBKaGub7dwA3U6UFTqxio9LNnvDCQjHKmttSEBsFQ/edit?usp=sharing"",""จัดที่ดิน!AC77"")"),529.61)</f>
        <v>529.61</v>
      </c>
      <c r="K368" s="425">
        <f ca="1">IF(I368&gt;0,J368*100/I368,0)</f>
        <v>108.08367346938776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IFERROR(__xludf.DUMMYFUNCTION("IMPORTRANGE(""https://docs.google.com/spreadsheets/d/1eHaY18a8A9IcSdp1K8H6x8fbOy06t2VsZHhMHf-1x7Y/edit?usp=sharing"",""แผน!EX77"")"),88)</f>
        <v>88</v>
      </c>
      <c r="J369" s="424">
        <f ca="1">IFERROR(__xludf.DUMMYFUNCTION("IMPORTRANGE(""https://docs.google.com/spreadsheets/d/1tdoBKaGub7dwA3U6UFTqxio9LNnvDCQjHKmttSEBsFQ/edit?usp=sharing"",""จัดที่ดิน!AD77"")"),25)</f>
        <v>25</v>
      </c>
      <c r="K369" s="425">
        <f ca="1">IF(I369&gt;0,J369*100/I369,0)</f>
        <v>28.40909090909091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IFERROR(__xludf.DUMMYFUNCTION("IMPORTRANGE(""https://docs.google.com/spreadsheets/d/1tdoBKaGub7dwA3U6UFTqxio9LNnvDCQjHKmttSEBsFQ/edit?usp=sharing"",""จัดที่ดิน!AE77"")"),302.1)</f>
        <v>302.10000000000002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IFERROR(__xludf.DUMMYFUNCTION("IMPORTRANGE(""https://docs.google.com/spreadsheets/d/1eHaY18a8A9IcSdp1K8H6x8fbOy06t2VsZHhMHf-1x7Y/edit?usp=sharing"",""แผน!EY77"")"),63)</f>
        <v>63</v>
      </c>
      <c r="J371" s="424">
        <f ca="1">IFERROR(__xludf.DUMMYFUNCTION("IMPORTRANGE(""https://docs.google.com/spreadsheets/d/1tdoBKaGub7dwA3U6UFTqxio9LNnvDCQjHKmttSEBsFQ/edit?usp=sharing"",""จัดที่ดิน!AF77"")"),25)</f>
        <v>25</v>
      </c>
      <c r="K371" s="425">
        <f ca="1">IF(I371&gt;0,J371*100/I371,0)</f>
        <v>39.682539682539684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IFERROR(__xludf.DUMMYFUNCTION("IMPORTRANGE(""https://docs.google.com/spreadsheets/d/1tdoBKaGub7dwA3U6UFTqxio9LNnvDCQjHKmttSEBsFQ/edit?usp=sharing"",""จัดที่ดิน!AG77"")"),302.1)</f>
        <v>302.10000000000002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IFERROR(__xludf.DUMMYFUNCTION("IMPORTRANGE(""https://docs.google.com/spreadsheets/d/1-uDff_7J0KD5mKrp0Vvzr7lt3OU09vwQwhkpOPPYv2Y/edit?usp=sharing"",""งบพรบ!FM77"")"),0)</f>
        <v>0</v>
      </c>
      <c r="M382" s="544">
        <f ca="1">IFERROR(__xludf.DUMMYFUNCTION("IMPORTRANGE(""https://docs.google.com/spreadsheets/d/1-uDff_7J0KD5mKrp0Vvzr7lt3OU09vwQwhkpOPPYv2Y/edit?usp=sharing"",""งบพรบ!FR77"")"),0)</f>
        <v>0</v>
      </c>
      <c r="N382" s="544">
        <f ca="1">IFERROR(__xludf.DUMMYFUNCTION("IMPORTRANGE(""https://docs.google.com/spreadsheets/d/1-uDff_7J0KD5mKrp0Vvzr7lt3OU09vwQwhkpOPPYv2Y/edit?usp=sharing"",""งบพรบ!FT77"")"),0)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IFERROR(__xludf.DUMMYFUNCTION("IMPORTRANGE(""https://docs.google.com/spreadsheets/d/1-uDff_7J0KD5mKrp0Vvzr7lt3OU09vwQwhkpOPPYv2Y/edit?usp=sharing"",""งบพรบ!FP77"")"),0)</f>
        <v>0</v>
      </c>
      <c r="M385" s="544">
        <f ca="1">IFERROR(__xludf.DUMMYFUNCTION("IMPORTRANGE(""https://docs.google.com/spreadsheets/d/1-uDff_7J0KD5mKrp0Vvzr7lt3OU09vwQwhkpOPPYv2Y/edit?usp=sharing"",""งบพรบ!FS77"")"),0)</f>
        <v>0</v>
      </c>
      <c r="N385" s="544">
        <f ca="1">IFERROR(__xludf.DUMMYFUNCTION("IMPORTRANGE(""https://docs.google.com/spreadsheets/d/1-uDff_7J0KD5mKrp0Vvzr7lt3OU09vwQwhkpOPPYv2Y/edit?usp=sharing"",""งบพรบ!FU77"")"),0)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4E54-613E-452D-9EF0-B024A0CC51FF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2231525</v>
      </c>
      <c r="M18" s="709">
        <f ca="1">M19+M20</f>
        <v>1914675</v>
      </c>
      <c r="N18" s="709">
        <f ca="1">N19+N20</f>
        <v>513702.24</v>
      </c>
      <c r="O18" s="709">
        <f ca="1">IF(L18&gt;0,N18*100/L18,0)</f>
        <v>23.020232352315119</v>
      </c>
      <c r="P18" s="709">
        <f ca="1">IF(M18&gt;0,N18*100/M18,0)</f>
        <v>26.829735594813741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2231525</v>
      </c>
      <c r="M20" s="822">
        <f ca="1">M23+M26</f>
        <v>1914675</v>
      </c>
      <c r="N20" s="822">
        <f ca="1">N23+N26</f>
        <v>513702.24</v>
      </c>
      <c r="O20" s="822">
        <f ca="1">IF(L20&gt;0,N20*100/L20,0)</f>
        <v>23.020232352315119</v>
      </c>
      <c r="P20" s="822">
        <f ca="1">IF(M20&gt;0,N20*100/M20,0)</f>
        <v>26.829735594813741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2231525</v>
      </c>
      <c r="M21" s="425">
        <f ca="1">M22+M23</f>
        <v>1914675</v>
      </c>
      <c r="N21" s="425">
        <f ca="1">N22+N23</f>
        <v>513702.24</v>
      </c>
      <c r="O21" s="425">
        <f ca="1">IF(L21&gt;0,N21*100/L21,0)</f>
        <v>23.020232352315119</v>
      </c>
      <c r="P21" s="425">
        <f ca="1">IF(M21&gt;0,N21*100/M21,0)</f>
        <v>26.829735594813741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2231525</v>
      </c>
      <c r="M23" s="425">
        <f ca="1">M49+M64+M77+M99+M130+M144+M162+M191+M178+M271+M287+M308+M325+M338+M361+M382</f>
        <v>1914675</v>
      </c>
      <c r="N23" s="425">
        <f ca="1">N49+N64+N77+N99+N130+N144+N162+N191+N178+N271+N287+N308+N325+N338+N361+N382</f>
        <v>513702.24</v>
      </c>
      <c r="O23" s="425">
        <f ca="1">IF(L23&gt;0,N23*100/L23,0)</f>
        <v>23.020232352315119</v>
      </c>
      <c r="P23" s="425">
        <f ca="1">IF(M23&gt;0,N23*100/M23,0)</f>
        <v>26.829735594813741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2231525</v>
      </c>
      <c r="M40" s="814">
        <f ca="1">M44+M59+M72+M94+M125+M139+M157+M173+M186+M266+M282+M303+M320+M333+M356</f>
        <v>1914675</v>
      </c>
      <c r="N40" s="814">
        <f ca="1">N44+N59+N72+N94+N125+N139+N157+N173+N186+N266+N282+N303+N320+N333+N356</f>
        <v>513702.24</v>
      </c>
      <c r="O40" s="814">
        <f ca="1">IF(L40&gt;0,N40*100/L40,0)</f>
        <v>23.020232352315119</v>
      </c>
      <c r="P40" s="814">
        <f ca="1">IF(M40&gt;0,N40*100/M40,0)</f>
        <v>26.829735594813741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413350</v>
      </c>
      <c r="M44" s="799">
        <f ca="1">M45+M46</f>
        <v>420100</v>
      </c>
      <c r="N44" s="799">
        <f ca="1">N45+N46</f>
        <v>180750</v>
      </c>
      <c r="O44" s="799">
        <f ca="1">IF(L44&gt;0,N44*100/L44,0)</f>
        <v>43.728075480827385</v>
      </c>
      <c r="P44" s="799">
        <f ca="1">IF(M44&gt;0,N44*100/M44,0)</f>
        <v>43.025470126160435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413350</v>
      </c>
      <c r="M46" s="788">
        <f ca="1">M49+M52</f>
        <v>420100</v>
      </c>
      <c r="N46" s="788">
        <f ca="1">N49+N52</f>
        <v>180750</v>
      </c>
      <c r="O46" s="788">
        <f ca="1">IF(L46&gt;0,N46*100/L46,0)</f>
        <v>43.728075480827385</v>
      </c>
      <c r="P46" s="788">
        <f ca="1">IF(M46&gt;0,N46*100/M46,0)</f>
        <v>43.025470126160435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413350</v>
      </c>
      <c r="M47" s="425">
        <f ca="1">M48+M49</f>
        <v>420100</v>
      </c>
      <c r="N47" s="425">
        <f ca="1">N48+N49</f>
        <v>180750</v>
      </c>
      <c r="O47" s="425">
        <f ca="1">IF(L47&gt;0,N47*100/L47,0)</f>
        <v>43.728075480827385</v>
      </c>
      <c r="P47" s="425">
        <f ca="1">IF(M47&gt;0,N47*100/M47,0)</f>
        <v>43.025470126160435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IFERROR(__xludf.DUMMYFUNCTION("IMPORTRANGE(""https://docs.google.com/spreadsheets/d/1-uDff_7J0KD5mKrp0Vvzr7lt3OU09vwQwhkpOPPYv2Y/edit?usp=sharing"",""งบพรบ!P78"")"),413350)</f>
        <v>413350</v>
      </c>
      <c r="M49" s="425">
        <f ca="1">IFERROR(__xludf.DUMMYFUNCTION("IMPORTRANGE(""https://docs.google.com/spreadsheets/d/1-uDff_7J0KD5mKrp0Vvzr7lt3OU09vwQwhkpOPPYv2Y/edit?usp=sharing"",""งบพรบ!V78"")"),420100)</f>
        <v>420100</v>
      </c>
      <c r="N49" s="425">
        <f ca="1">IFERROR(__xludf.DUMMYFUNCTION("IMPORTRANGE(""https://docs.google.com/spreadsheets/d/1-uDff_7J0KD5mKrp0Vvzr7lt3OU09vwQwhkpOPPYv2Y/edit?usp=sharing"",""งบพรบ!Y78"")"),180750)</f>
        <v>180750</v>
      </c>
      <c r="O49" s="425">
        <f ca="1">IF(L49&gt;0,N49*100/L49,0)</f>
        <v>43.728075480827385</v>
      </c>
      <c r="P49" s="425">
        <f ca="1">IF(M49&gt;0,N49*100/M49,0)</f>
        <v>43.025470126160435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IFERROR(__xludf.DUMMYFUNCTION("IMPORTRANGE(""https://docs.google.com/spreadsheets/d/1-uDff_7J0KD5mKrp0Vvzr7lt3OU09vwQwhkpOPPYv2Y/edit?usp=sharing"",""งบพรบ!S78"")"),0)</f>
        <v>0</v>
      </c>
      <c r="M52" s="425">
        <f ca="1">IFERROR(__xludf.DUMMYFUNCTION("IMPORTRANGE(""https://docs.google.com/spreadsheets/d/1-uDff_7J0KD5mKrp0Vvzr7lt3OU09vwQwhkpOPPYv2Y/edit?usp=sharing"",""งบพรบ!W78"")"),0)</f>
        <v>0</v>
      </c>
      <c r="N52" s="425">
        <f ca="1">IFERROR(__xludf.DUMMYFUNCTION("IMPORTRANGE(""https://docs.google.com/spreadsheets/d/1-uDff_7J0KD5mKrp0Vvzr7lt3OU09vwQwhkpOPPYv2Y/edit?usp=sharing"",""งบพรบ!Z78"")"),0)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509100</v>
      </c>
      <c r="M59" s="768">
        <f ca="1">M60+M61</f>
        <v>384050</v>
      </c>
      <c r="N59" s="768">
        <f ca="1">N60+N61</f>
        <v>156363.32</v>
      </c>
      <c r="O59" s="768">
        <f ca="1">IF(L59&gt;0,N59*100/L59,0)</f>
        <v>30.713675112944411</v>
      </c>
      <c r="P59" s="768">
        <f ca="1">IF(M59&gt;0,N59*100/M59,0)</f>
        <v>40.714313240463483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509100</v>
      </c>
      <c r="M61" s="757">
        <f ca="1">M64+M67</f>
        <v>384050</v>
      </c>
      <c r="N61" s="757">
        <f ca="1">N64+N67</f>
        <v>156363.32</v>
      </c>
      <c r="O61" s="757">
        <f ca="1">IF(L61&gt;0,N61*100/L61,0)</f>
        <v>30.713675112944411</v>
      </c>
      <c r="P61" s="757">
        <f ca="1">IF(M61&gt;0,N61*100/M61,0)</f>
        <v>40.714313240463483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509100</v>
      </c>
      <c r="M62" s="425">
        <f ca="1">M63+M64</f>
        <v>384050</v>
      </c>
      <c r="N62" s="425">
        <f ca="1">N63+N64</f>
        <v>156363.32</v>
      </c>
      <c r="O62" s="425">
        <f ca="1">IF(L62&gt;0,N62*100/L62,0)</f>
        <v>30.713675112944411</v>
      </c>
      <c r="P62" s="425">
        <f ca="1">IF(M62&gt;0,N62*100/M62,0)</f>
        <v>40.714313240463483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IFERROR(__xludf.DUMMYFUNCTION("IMPORTRANGE(""https://docs.google.com/spreadsheets/d/1-uDff_7J0KD5mKrp0Vvzr7lt3OU09vwQwhkpOPPYv2Y/edit?usp=sharing"",""งบพรบ!AC78"")"),509100)</f>
        <v>509100</v>
      </c>
      <c r="M64" s="425">
        <f ca="1">IFERROR(__xludf.DUMMYFUNCTION("IMPORTRANGE(""https://docs.google.com/spreadsheets/d/1-uDff_7J0KD5mKrp0Vvzr7lt3OU09vwQwhkpOPPYv2Y/edit?usp=sharing"",""งบพรบ!AH78"")"),384050)</f>
        <v>384050</v>
      </c>
      <c r="N64" s="425">
        <f ca="1">IFERROR(__xludf.DUMMYFUNCTION("IMPORTRANGE(""https://docs.google.com/spreadsheets/d/1-uDff_7J0KD5mKrp0Vvzr7lt3OU09vwQwhkpOPPYv2Y/edit?usp=sharing"",""งบพรบ!AJ78"")"),156363.32)</f>
        <v>156363.32</v>
      </c>
      <c r="O64" s="425">
        <f ca="1">IF(L64&gt;0,N64*100/L64,0)</f>
        <v>30.713675112944411</v>
      </c>
      <c r="P64" s="425">
        <f ca="1">IF(M64&gt;0,N64*100/M64,0)</f>
        <v>40.714313240463483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IFERROR(__xludf.DUMMYFUNCTION("IMPORTRANGE(""https://docs.google.com/spreadsheets/d/1-uDff_7J0KD5mKrp0Vvzr7lt3OU09vwQwhkpOPPYv2Y/edit?usp=sharing"",""งบพรบ!AF78"")"),0)</f>
        <v>0</v>
      </c>
      <c r="M67" s="752">
        <f ca="1">IFERROR(__xludf.DUMMYFUNCTION("IMPORTRANGE(""https://docs.google.com/spreadsheets/d/1-uDff_7J0KD5mKrp0Vvzr7lt3OU09vwQwhkpOPPYv2Y/edit?usp=sharing"",""งบพรบ!AI78"")"),0)</f>
        <v>0</v>
      </c>
      <c r="N67" s="752">
        <f ca="1">IFERROR(__xludf.DUMMYFUNCTION("IMPORTRANGE(""https://docs.google.com/spreadsheets/d/1-uDff_7J0KD5mKrp0Vvzr7lt3OU09vwQwhkpOPPYv2Y/edit?usp=sharing"",""งบพรบ!AK78"")"),0)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IFERROR(__xludf.DUMMYFUNCTION("IMPORTRANGE(""https://docs.google.com/spreadsheets/d/1-uDff_7J0KD5mKrp0Vvzr7lt3OU09vwQwhkpOPPYv2Y/edit?usp=sharing"",""งบพรบ!AM78"")"),0)</f>
        <v>0</v>
      </c>
      <c r="M77" s="425">
        <f ca="1">IFERROR(__xludf.DUMMYFUNCTION("IMPORTRANGE(""https://docs.google.com/spreadsheets/d/1-uDff_7J0KD5mKrp0Vvzr7lt3OU09vwQwhkpOPPYv2Y/edit?usp=sharing"",""งบพรบ!AR78"")"),0)</f>
        <v>0</v>
      </c>
      <c r="N77" s="425">
        <f ca="1">IFERROR(__xludf.DUMMYFUNCTION("IMPORTRANGE(""https://docs.google.com/spreadsheets/d/1-uDff_7J0KD5mKrp0Vvzr7lt3OU09vwQwhkpOPPYv2Y/edit?usp=sharing"",""งบพรบ!AT78"")"),0)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IFERROR(__xludf.DUMMYFUNCTION("IMPORTRANGE(""https://docs.google.com/spreadsheets/d/1-uDff_7J0KD5mKrp0Vvzr7lt3OU09vwQwhkpOPPYv2Y/edit?usp=sharing"",""งบพรบ!AP78"")"),0)</f>
        <v>0</v>
      </c>
      <c r="M80" s="425">
        <f ca="1">IFERROR(__xludf.DUMMYFUNCTION("IMPORTRANGE(""https://docs.google.com/spreadsheets/d/1-uDff_7J0KD5mKrp0Vvzr7lt3OU09vwQwhkpOPPYv2Y/edit?usp=sharing"",""งบพรบ!AS78"")"),0)</f>
        <v>0</v>
      </c>
      <c r="N80" s="425">
        <f ca="1">IFERROR(__xludf.DUMMYFUNCTION("IMPORTRANGE(""https://docs.google.com/spreadsheets/d/1-uDff_7J0KD5mKrp0Vvzr7lt3OU09vwQwhkpOPPYv2Y/edit?usp=sharing"",""งบพรบ!AU78"")"),0)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IFERROR(__xludf.DUMMYFUNCTION("IMPORTRANGE(""https://docs.google.com/spreadsheets/d/1eHaY18a8A9IcSdp1K8H6x8fbOy06t2VsZHhMHf-1x7Y/edit?usp=sharing"",""แผน!H78"")"),0)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IFERROR(__xludf.DUMMYFUNCTION("IMPORTRANGE(""https://docs.google.com/spreadsheets/d/1eHaY18a8A9IcSdp1K8H6x8fbOy06t2VsZHhMHf-1x7Y/edit?usp=sharing"",""แผน!I78"")"),0)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IFERROR(__xludf.DUMMYFUNCTION("IMPORTRANGE(""https://docs.google.com/spreadsheets/d/1eHaY18a8A9IcSdp1K8H6x8fbOy06t2VsZHhMHf-1x7Y/edit?usp=sharing"",""แผน!F78"")"),0)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IFERROR(__xludf.DUMMYFUNCTION("IMPORTRANGE(""https://docs.google.com/spreadsheets/d/1eHaY18a8A9IcSdp1K8H6x8fbOy06t2VsZHhMHf-1x7Y/edit?usp=sharing"",""แผน!G78"")"),0)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IFERROR(__xludf.DUMMYFUNCTION("IMPORTRANGE(""https://docs.google.com/spreadsheets/d/1eHaY18a8A9IcSdp1K8H6x8fbOy06t2VsZHhMHf-1x7Y/edit?usp=sharing"",""แผน!D78"")"),0)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IFERROR(__xludf.DUMMYFUNCTION("IMPORTRANGE(""https://docs.google.com/spreadsheets/d/1eHaY18a8A9IcSdp1K8H6x8fbOy06t2VsZHhMHf-1x7Y/edit?usp=sharing"",""แผน!E78"")"),0)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IFERROR(__xludf.DUMMYFUNCTION("IMPORTRANGE(""https://docs.google.com/spreadsheets/d/1eHaY18a8A9IcSdp1K8H6x8fbOy06t2VsZHhMHf-1x7Y/edit?usp=sharing"",""แผน!J78"")"),0)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IFERROR(__xludf.DUMMYFUNCTION("IMPORTRANGE(""https://docs.google.com/spreadsheets/d/1-uDff_7J0KD5mKrp0Vvzr7lt3OU09vwQwhkpOPPYv2Y/edit?usp=sharing"",""งบพรบ!AW78"")"),0)</f>
        <v>0</v>
      </c>
      <c r="M99" s="425">
        <f ca="1">IFERROR(__xludf.DUMMYFUNCTION("IMPORTRANGE(""https://docs.google.com/spreadsheets/d/1-uDff_7J0KD5mKrp0Vvzr7lt3OU09vwQwhkpOPPYv2Y/edit?usp=sharing"",""งบพรบ!BB78"")"),0)</f>
        <v>0</v>
      </c>
      <c r="N99" s="425">
        <f ca="1">IFERROR(__xludf.DUMMYFUNCTION("IMPORTRANGE(""https://docs.google.com/spreadsheets/d/1-uDff_7J0KD5mKrp0Vvzr7lt3OU09vwQwhkpOPPYv2Y/edit?usp=sharing"",""งบพรบ!BD78"")"),0)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IFERROR(__xludf.DUMMYFUNCTION("IMPORTRANGE(""https://docs.google.com/spreadsheets/d/1-uDff_7J0KD5mKrp0Vvzr7lt3OU09vwQwhkpOPPYv2Y/edit?usp=sharing"",""งบพรบ!AZ78"")"),0)</f>
        <v>0</v>
      </c>
      <c r="M102" s="425">
        <f ca="1">IFERROR(__xludf.DUMMYFUNCTION("IMPORTRANGE(""https://docs.google.com/spreadsheets/d/1-uDff_7J0KD5mKrp0Vvzr7lt3OU09vwQwhkpOPPYv2Y/edit?usp=sharing"",""งบพรบ!BC78"")"),0)</f>
        <v>0</v>
      </c>
      <c r="N102" s="425">
        <f ca="1">IFERROR(__xludf.DUMMYFUNCTION("IMPORTRANGE(""https://docs.google.com/spreadsheets/d/1-uDff_7J0KD5mKrp0Vvzr7lt3OU09vwQwhkpOPPYv2Y/edit?usp=sharing"",""งบพรบ!BE78"")"),0)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IFERROR(__xludf.DUMMYFUNCTION("IMPORTRANGE(""https://docs.google.com/spreadsheets/d/1eHaY18a8A9IcSdp1K8H6x8fbOy06t2VsZHhMHf-1x7Y/edit?usp=sharing"",""แผน!N78"")"),0)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IFERROR(__xludf.DUMMYFUNCTION("IMPORTRANGE(""https://docs.google.com/spreadsheets/d/1eHaY18a8A9IcSdp1K8H6x8fbOy06t2VsZHhMHf-1x7Y/edit?usp=sharing"",""แผน!O78"")"),0)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IFERROR(__xludf.DUMMYFUNCTION("IMPORTRANGE(""https://docs.google.com/spreadsheets/d/1eHaY18a8A9IcSdp1K8H6x8fbOy06t2VsZHhMHf-1x7Y/edit?usp=sharing"",""แผน!R78"")"),0)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IFERROR(__xludf.DUMMYFUNCTION("IMPORTRANGE(""https://docs.google.com/spreadsheets/d/1-uDff_7J0KD5mKrp0Vvzr7lt3OU09vwQwhkpOPPYv2Y/edit?usp=sharing"",""งบพรบ!BG78"")"),0)</f>
        <v>0</v>
      </c>
      <c r="M130" s="728">
        <f ca="1">IFERROR(__xludf.DUMMYFUNCTION("IMPORTRANGE(""https://docs.google.com/spreadsheets/d/1-uDff_7J0KD5mKrp0Vvzr7lt3OU09vwQwhkpOPPYv2Y/edit?usp=sharing"",""งบพรบ!BL78"")"),0)</f>
        <v>0</v>
      </c>
      <c r="N130" s="728">
        <f ca="1">IFERROR(__xludf.DUMMYFUNCTION("IMPORTRANGE(""https://docs.google.com/spreadsheets/d/1-uDff_7J0KD5mKrp0Vvzr7lt3OU09vwQwhkpOPPYv2Y/edit?usp=sharing"",""งบพรบ!BN78"")"),0)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IFERROR(__xludf.DUMMYFUNCTION("IMPORTRANGE(""https://docs.google.com/spreadsheets/d/1-uDff_7J0KD5mKrp0Vvzr7lt3OU09vwQwhkpOPPYv2Y/edit?usp=sharing"",""งบพรบ!BJ78"")"),0)</f>
        <v>0</v>
      </c>
      <c r="M133" s="728">
        <f ca="1">IFERROR(__xludf.DUMMYFUNCTION("IMPORTRANGE(""https://docs.google.com/spreadsheets/d/1-uDff_7J0KD5mKrp0Vvzr7lt3OU09vwQwhkpOPPYv2Y/edit?usp=sharing"",""งบพรบ!BM78"")"),0)</f>
        <v>0</v>
      </c>
      <c r="N133" s="728">
        <f ca="1">IFERROR(__xludf.DUMMYFUNCTION("IMPORTRANGE(""https://docs.google.com/spreadsheets/d/1-uDff_7J0KD5mKrp0Vvzr7lt3OU09vwQwhkpOPPYv2Y/edit?usp=sharing"",""งบพรบ!BO78"")"),0)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40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4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135400</v>
      </c>
      <c r="M139" s="550">
        <f ca="1">M140+M141</f>
        <v>105700</v>
      </c>
      <c r="N139" s="550">
        <f ca="1">N140+N141</f>
        <v>25410</v>
      </c>
      <c r="O139" s="550">
        <f ca="1">IF(L139&gt;0,N139*100/L139,0)</f>
        <v>18.766617429837517</v>
      </c>
      <c r="P139" s="550">
        <f ca="1">IF(M139&gt;0,N139*100/M139,0)</f>
        <v>24.039735099337747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135400</v>
      </c>
      <c r="M141" s="425">
        <f ca="1">M144+M147</f>
        <v>105700</v>
      </c>
      <c r="N141" s="425">
        <f ca="1">N144+N147</f>
        <v>25410</v>
      </c>
      <c r="O141" s="425">
        <f ca="1">IF(L141&gt;0,N141*100/L141,0)</f>
        <v>18.766617429837517</v>
      </c>
      <c r="P141" s="425">
        <f ca="1">IF(M141&gt;0,N141*100/M141,0)</f>
        <v>24.039735099337747</v>
      </c>
    </row>
    <row r="142" spans="1:16" ht="18.75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135400</v>
      </c>
      <c r="M142" s="425">
        <f ca="1">M143+M144</f>
        <v>105700</v>
      </c>
      <c r="N142" s="425">
        <f ca="1">N143+N144</f>
        <v>25410</v>
      </c>
      <c r="O142" s="425">
        <f ca="1">IF(L142&gt;0,N142*100/L142,0)</f>
        <v>18.766617429837517</v>
      </c>
      <c r="P142" s="425">
        <f ca="1">IF(M142&gt;0,N142*100/M142,0)</f>
        <v>24.039735099337747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IFERROR(__xludf.DUMMYFUNCTION("IMPORTRANGE(""https://docs.google.com/spreadsheets/d/1-uDff_7J0KD5mKrp0Vvzr7lt3OU09vwQwhkpOPPYv2Y/edit?usp=sharing"",""งบพรบ!BQ78"")"),135400)</f>
        <v>135400</v>
      </c>
      <c r="M144" s="425">
        <f ca="1">IFERROR(__xludf.DUMMYFUNCTION("IMPORTRANGE(""https://docs.google.com/spreadsheets/d/1-uDff_7J0KD5mKrp0Vvzr7lt3OU09vwQwhkpOPPYv2Y/edit?usp=sharing"",""งบพรบ!BV78"")"),105700)</f>
        <v>105700</v>
      </c>
      <c r="N144" s="425">
        <f ca="1">IFERROR(__xludf.DUMMYFUNCTION("IMPORTRANGE(""https://docs.google.com/spreadsheets/d/1-uDff_7J0KD5mKrp0Vvzr7lt3OU09vwQwhkpOPPYv2Y/edit?usp=sharing"",""งบพรบ!BX78"")"),25410)</f>
        <v>25410</v>
      </c>
      <c r="O144" s="425">
        <f ca="1">IF(L144&gt;0,N144*100/L144,0)</f>
        <v>18.766617429837517</v>
      </c>
      <c r="P144" s="425">
        <f ca="1">IF(M144&gt;0,N144*100/M144,0)</f>
        <v>24.039735099337747</v>
      </c>
    </row>
    <row r="145" spans="1:16" ht="18.75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IFERROR(__xludf.DUMMYFUNCTION("IMPORTRANGE(""https://docs.google.com/spreadsheets/d/1-uDff_7J0KD5mKrp0Vvzr7lt3OU09vwQwhkpOPPYv2Y/edit?usp=sharing"",""งบพรบ!BT78"")"),0)</f>
        <v>0</v>
      </c>
      <c r="M147" s="425">
        <f ca="1">IFERROR(__xludf.DUMMYFUNCTION("IMPORTRANGE(""https://docs.google.com/spreadsheets/d/1-uDff_7J0KD5mKrp0Vvzr7lt3OU09vwQwhkpOPPYv2Y/edit?usp=sharing"",""งบพรบ!BW78"")"),0)</f>
        <v>0</v>
      </c>
      <c r="N147" s="425">
        <f ca="1">IFERROR(__xludf.DUMMYFUNCTION("IMPORTRANGE(""https://docs.google.com/spreadsheets/d/1-uDff_7J0KD5mKrp0Vvzr7lt3OU09vwQwhkpOPPYv2Y/edit?usp=sharing"",""งบพรบ!BY78"")"),0)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IFERROR(__xludf.DUMMYFUNCTION("IMPORTRANGE(""https://docs.google.com/spreadsheets/d/1eHaY18a8A9IcSdp1K8H6x8fbOy06t2VsZHhMHf-1x7Y/edit?usp=sharing"",""แผน!U78"")"),0)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IFERROR(__xludf.DUMMYFUNCTION("IMPORTRANGE(""https://docs.google.com/spreadsheets/d/1eHaY18a8A9IcSdp1K8H6x8fbOy06t2VsZHhMHf-1x7Y/edit?usp=sharing"",""แผน!V78"")"),0)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IFERROR(__xludf.DUMMYFUNCTION("IMPORTRANGE(""https://docs.google.com/spreadsheets/d/1eHaY18a8A9IcSdp1K8H6x8fbOy06t2VsZHhMHf-1x7Y/edit?usp=sharing"",""แผน!W78"")"),40)</f>
        <v>40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IFERROR(__xludf.DUMMYFUNCTION("IMPORTRANGE(""https://docs.google.com/spreadsheets/d/1eHaY18a8A9IcSdp1K8H6x8fbOy06t2VsZHhMHf-1x7Y/edit?usp=sharing"",""แผน!X78"")"),4)</f>
        <v>4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IFERROR(__xludf.DUMMYFUNCTION("IMPORTRANGE(""https://docs.google.com/spreadsheets/d/1eHaY18a8A9IcSdp1K8H6x8fbOy06t2VsZHhMHf-1x7Y/edit?usp=sharing"",""แผน!Y78"")"),0)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IFERROR(__xludf.DUMMYFUNCTION("IMPORTRANGE(""https://docs.google.com/spreadsheets/d/1-uDff_7J0KD5mKrp0Vvzr7lt3OU09vwQwhkpOPPYv2Y/edit?usp=sharing"",""งบพรบ!CA78"")"),0)</f>
        <v>0</v>
      </c>
      <c r="M162" s="425">
        <f ca="1">IFERROR(__xludf.DUMMYFUNCTION("IMPORTRANGE(""https://docs.google.com/spreadsheets/d/1-uDff_7J0KD5mKrp0Vvzr7lt3OU09vwQwhkpOPPYv2Y/edit?usp=sharing"",""งบพรบ!CF78"")"),0)</f>
        <v>0</v>
      </c>
      <c r="N162" s="425">
        <f ca="1">IFERROR(__xludf.DUMMYFUNCTION("IMPORTRANGE(""https://docs.google.com/spreadsheets/d/1-uDff_7J0KD5mKrp0Vvzr7lt3OU09vwQwhkpOPPYv2Y/edit?usp=sharing"",""งบพรบ!CH78"")"),0)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IFERROR(__xludf.DUMMYFUNCTION("IMPORTRANGE(""https://docs.google.com/spreadsheets/d/1-uDff_7J0KD5mKrp0Vvzr7lt3OU09vwQwhkpOPPYv2Y/edit?usp=sharing"",""งบพรบ!CD78"")"),0)</f>
        <v>0</v>
      </c>
      <c r="M165" s="425">
        <f ca="1">IFERROR(__xludf.DUMMYFUNCTION("IMPORTRANGE(""https://docs.google.com/spreadsheets/d/1-uDff_7J0KD5mKrp0Vvzr7lt3OU09vwQwhkpOPPYv2Y/edit?usp=sharing"",""งบพรบ!CG78"")"),0)</f>
        <v>0</v>
      </c>
      <c r="N165" s="425">
        <f ca="1">IFERROR(__xludf.DUMMYFUNCTION("IMPORTRANGE(""https://docs.google.com/spreadsheets/d/1-uDff_7J0KD5mKrp0Vvzr7lt3OU09vwQwhkpOPPYv2Y/edit?usp=sharing"",""งบพรบ!CI78"")"),0)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IFERROR(__xludf.DUMMYFUNCTION("IMPORTRANGE(""https://docs.google.com/spreadsheets/d/1eHaY18a8A9IcSdp1K8H6x8fbOy06t2VsZHhMHf-1x7Y/edit?usp=sharing"",""แผน!Z78"")"),0)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IFERROR(__xludf.DUMMYFUNCTION("IMPORTRANGE(""https://docs.google.com/spreadsheets/d/1eHaY18a8A9IcSdp1K8H6x8fbOy06t2VsZHhMHf-1x7Y/edit?usp=sharing"",""แผน!Z78"")"),0)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IFERROR(__xludf.DUMMYFUNCTION("IMPORTRANGE(""https://docs.google.com/spreadsheets/d/1eHaY18a8A9IcSdp1K8H6x8fbOy06t2VsZHhMHf-1x7Y/edit?usp=sharing"",""แผน!Z78"")"),0)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17455</v>
      </c>
      <c r="O173" s="550">
        <f ca="1">IF(L173&gt;0,N173*100/L173,0)</f>
        <v>89.101582440020422</v>
      </c>
      <c r="P173" s="550">
        <f ca="1">IF(M173&gt;0,N173*100/M173,0)</f>
        <v>89.101582440020422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17455</v>
      </c>
      <c r="O175" s="425">
        <f ca="1">IF(L175&gt;0,N175*100/L175,0)</f>
        <v>89.101582440020422</v>
      </c>
      <c r="P175" s="425">
        <f ca="1">IF(M175&gt;0,N175*100/M175,0)</f>
        <v>89.101582440020422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17455</v>
      </c>
      <c r="O176" s="425">
        <f ca="1">IF(L176&gt;0,N176*100/L176,0)</f>
        <v>89.101582440020422</v>
      </c>
      <c r="P176" s="425">
        <f ca="1">IF(M176&gt;0,N176*100/M176,0)</f>
        <v>89.101582440020422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IFERROR(__xludf.DUMMYFUNCTION("IMPORTRANGE(""https://docs.google.com/spreadsheets/d/1-uDff_7J0KD5mKrp0Vvzr7lt3OU09vwQwhkpOPPYv2Y/edit?usp=sharing"",""งบพรบ!CK78"")"),19590)</f>
        <v>19590</v>
      </c>
      <c r="M178" s="425">
        <f ca="1">IFERROR(__xludf.DUMMYFUNCTION("IMPORTRANGE(""https://docs.google.com/spreadsheets/d/1-uDff_7J0KD5mKrp0Vvzr7lt3OU09vwQwhkpOPPYv2Y/edit?usp=sharing"",""งบพรบ!CP78"")"),19590)</f>
        <v>19590</v>
      </c>
      <c r="N178" s="425">
        <f ca="1">IFERROR(__xludf.DUMMYFUNCTION("IMPORTRANGE(""https://docs.google.com/spreadsheets/d/1-uDff_7J0KD5mKrp0Vvzr7lt3OU09vwQwhkpOPPYv2Y/edit?usp=sharing"",""งบพรบ!CR78"")"),17455)</f>
        <v>17455</v>
      </c>
      <c r="O178" s="425">
        <f ca="1">IF(L178&gt;0,N178*100/L178,0)</f>
        <v>89.101582440020422</v>
      </c>
      <c r="P178" s="425">
        <f ca="1">IF(M178&gt;0,N178*100/M178,0)</f>
        <v>89.101582440020422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IFERROR(__xludf.DUMMYFUNCTION("IMPORTRANGE(""https://docs.google.com/spreadsheets/d/1-uDff_7J0KD5mKrp0Vvzr7lt3OU09vwQwhkpOPPYv2Y/edit?usp=sharing"",""งบพรบ!CN78"")"),0)</f>
        <v>0</v>
      </c>
      <c r="M181" s="425">
        <f ca="1">IFERROR(__xludf.DUMMYFUNCTION("IMPORTRANGE(""https://docs.google.com/spreadsheets/d/1-uDff_7J0KD5mKrp0Vvzr7lt3OU09vwQwhkpOPPYv2Y/edit?usp=sharing"",""งบพรบ!CQ78"")"),0)</f>
        <v>0</v>
      </c>
      <c r="N181" s="425">
        <f ca="1">IFERROR(__xludf.DUMMYFUNCTION("IMPORTRANGE(""https://docs.google.com/spreadsheets/d/1-uDff_7J0KD5mKrp0Vvzr7lt3OU09vwQwhkpOPPYv2Y/edit?usp=sharing"",""งบพรบ!CS78"")"),0)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IFERROR(__xludf.DUMMYFUNCTION("IMPORTRANGE(""https://docs.google.com/spreadsheets/d/1eHaY18a8A9IcSdp1K8H6x8fbOy06t2VsZHhMHf-1x7Y/edit?usp=sharing"",""แผน!AA78"")"),7)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40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283100</v>
      </c>
      <c r="M186" s="550">
        <f ca="1">M187+M188</f>
        <v>224100</v>
      </c>
      <c r="N186" s="550">
        <f ca="1">N187+N188</f>
        <v>15920</v>
      </c>
      <c r="O186" s="550">
        <f ca="1">IF(L186&gt;0,N186*100/L186,0)</f>
        <v>5.6234546096785589</v>
      </c>
      <c r="P186" s="550">
        <f ca="1">IF(M186&gt;0,N186*100/M186,0)</f>
        <v>7.103971441320839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283100</v>
      </c>
      <c r="M188" s="425">
        <f ca="1">M191+M194</f>
        <v>224100</v>
      </c>
      <c r="N188" s="425">
        <f ca="1">N191+N194</f>
        <v>15920</v>
      </c>
      <c r="O188" s="425">
        <f ca="1">IF(L188&gt;0,N188*100/L188,0)</f>
        <v>5.6234546096785589</v>
      </c>
      <c r="P188" s="425">
        <f ca="1">IF(M188&gt;0,N188*100/M188,0)</f>
        <v>7.103971441320839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283100</v>
      </c>
      <c r="M189" s="425">
        <f ca="1">M190+M191</f>
        <v>224100</v>
      </c>
      <c r="N189" s="425">
        <f ca="1">N190+N191</f>
        <v>15920</v>
      </c>
      <c r="O189" s="425">
        <f ca="1">IF(L189&gt;0,N189*100/L189,0)</f>
        <v>5.6234546096785589</v>
      </c>
      <c r="P189" s="425">
        <f ca="1">IF(M189&gt;0,N189*100/M189,0)</f>
        <v>7.103971441320839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IFERROR(__xludf.DUMMYFUNCTION("IMPORTRANGE(""https://docs.google.com/spreadsheets/d/1-uDff_7J0KD5mKrp0Vvzr7lt3OU09vwQwhkpOPPYv2Y/edit?usp=sharing"",""งบพรบ!CU78"")"),283100)</f>
        <v>283100</v>
      </c>
      <c r="M191" s="425">
        <f ca="1">IFERROR(__xludf.DUMMYFUNCTION("IMPORTRANGE(""https://docs.google.com/spreadsheets/d/1-uDff_7J0KD5mKrp0Vvzr7lt3OU09vwQwhkpOPPYv2Y/edit?usp=sharing"",""งบพรบ!CZ78"")"),224100)</f>
        <v>224100</v>
      </c>
      <c r="N191" s="425">
        <f ca="1">IFERROR(__xludf.DUMMYFUNCTION("IMPORTRANGE(""https://docs.google.com/spreadsheets/d/1-uDff_7J0KD5mKrp0Vvzr7lt3OU09vwQwhkpOPPYv2Y/edit?usp=sharing"",""งบพรบ!DB78"")"),15920)</f>
        <v>15920</v>
      </c>
      <c r="O191" s="425">
        <f ca="1">IF(L191&gt;0,N191*100/L191,0)</f>
        <v>5.6234546096785589</v>
      </c>
      <c r="P191" s="425">
        <f ca="1">IF(M191&gt;0,N191*100/M191,0)</f>
        <v>7.103971441320839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IFERROR(__xludf.DUMMYFUNCTION("IMPORTRANGE(""https://docs.google.com/spreadsheets/d/1-uDff_7J0KD5mKrp0Vvzr7lt3OU09vwQwhkpOPPYv2Y/edit?usp=sharing"",""งบพรบ!CX78"")"),0)</f>
        <v>0</v>
      </c>
      <c r="M194" s="425">
        <f ca="1">IFERROR(__xludf.DUMMYFUNCTION("IMPORTRANGE(""https://docs.google.com/spreadsheets/d/1-uDff_7J0KD5mKrp0Vvzr7lt3OU09vwQwhkpOPPYv2Y/edit?usp=sharing"",""งบพรบ!DA78"")"),0)</f>
        <v>0</v>
      </c>
      <c r="N194" s="425">
        <f ca="1">IFERROR(__xludf.DUMMYFUNCTION("IMPORTRANGE(""https://docs.google.com/spreadsheets/d/1-uDff_7J0KD5mKrp0Vvzr7lt3OU09vwQwhkpOPPYv2Y/edit?usp=sharing"",""งบพรบ!DC78"")"),0)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IFERROR(__xludf.DUMMYFUNCTION("IMPORTRANGE(""https://docs.google.com/spreadsheets/d/1eHaY18a8A9IcSdp1K8H6x8fbOy06t2VsZHhMHf-1x7Y/edit?usp=sharing"",""แผน!AB78"")"),6000)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IFERROR(__xludf.DUMMYFUNCTION("IMPORTRANGE(""https://docs.google.com/spreadsheets/d/1eHaY18a8A9IcSdp1K8H6x8fbOy06t2VsZHhMHf-1x7Y/edit?usp=sharing"",""แผน!AE78"")"),4)</f>
        <v>4</v>
      </c>
      <c r="J198" s="568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31000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IFERROR(__xludf.DUMMYFUNCTION("IMPORTRANGE(""https://docs.google.com/spreadsheets/d/1eHaY18a8A9IcSdp1K8H6x8fbOy06t2VsZHhMHf-1x7Y/edit?usp=sharing"",""แผน!AG78"")"),2000)</f>
        <v>2000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IFERROR(__xludf.DUMMYFUNCTION("IMPORTRANGE(""https://docs.google.com/spreadsheets/d/1eHaY18a8A9IcSdp1K8H6x8fbOy06t2VsZHhMHf-1x7Y/edit?usp=sharing"",""แผน!AH78"")"),0)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IFERROR(__xludf.DUMMYFUNCTION("IMPORTRANGE(""https://docs.google.com/spreadsheets/d/1eHaY18a8A9IcSdp1K8H6x8fbOy06t2VsZHhMHf-1x7Y/edit?usp=sharing"",""แผน!AI78"")"),16000)</f>
        <v>16000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IFERROR(__xludf.DUMMYFUNCTION("IMPORTRANGE(""https://docs.google.com/spreadsheets/d/1eHaY18a8A9IcSdp1K8H6x8fbOy06t2VsZHhMHf-1x7Y/edit?usp=sharing"",""แผน!AJ78"")"),13000)</f>
        <v>13000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IFERROR(__xludf.DUMMYFUNCTION("IMPORTRANGE(""https://docs.google.com/spreadsheets/d/1eHaY18a8A9IcSdp1K8H6x8fbOy06t2VsZHhMHf-1x7Y/edit?usp=sharing"",""แผน!AK78"")"),2)</f>
        <v>2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IFERROR(__xludf.DUMMYFUNCTION("IMPORTRANGE(""https://docs.google.com/spreadsheets/d/1eHaY18a8A9IcSdp1K8H6x8fbOy06t2VsZHhMHf-1x7Y/edit?usp=sharing"",""แผน!JX78"")"),2)</f>
        <v>2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IFERROR(__xludf.DUMMYFUNCTION("IMPORTRANGE(""https://docs.google.com/spreadsheets/d/1eHaY18a8A9IcSdp1K8H6x8fbOy06t2VsZHhMHf-1x7Y/edit?usp=sharing"",""แผน!JY78"")"),1)</f>
        <v>1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2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28000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IFERROR(__xludf.DUMMYFUNCTION("IMPORTRANGE(""https://docs.google.com/spreadsheets/d/1eHaY18a8A9IcSdp1K8H6x8fbOy06t2VsZHhMHf-1x7Y/edit?usp=sharing"",""แผน!AM78"")"),2000)</f>
        <v>2000</v>
      </c>
      <c r="M215" s="428"/>
      <c r="N215" s="683">
        <v>0</v>
      </c>
      <c r="O215" s="527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IFERROR(__xludf.DUMMYFUNCTION("IMPORTRANGE(""https://docs.google.com/spreadsheets/d/1eHaY18a8A9IcSdp1K8H6x8fbOy06t2VsZHhMHf-1x7Y/edit?usp=sharing"",""แผน!AN78"")"),10000)</f>
        <v>10000</v>
      </c>
      <c r="M216" s="428"/>
      <c r="N216" s="683">
        <v>0</v>
      </c>
      <c r="O216" s="527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IFERROR(__xludf.DUMMYFUNCTION("IMPORTRANGE(""https://docs.google.com/spreadsheets/d/1eHaY18a8A9IcSdp1K8H6x8fbOy06t2VsZHhMHf-1x7Y/edit?usp=sharing"",""แผน!AO78"")"),16000)</f>
        <v>16000</v>
      </c>
      <c r="M217" s="428"/>
      <c r="N217" s="683">
        <v>0</v>
      </c>
      <c r="O217" s="527"/>
      <c r="P217" s="428"/>
    </row>
    <row r="218" spans="1:16" ht="19.5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IFERROR(__xludf.DUMMYFUNCTION("IMPORTRANGE(""https://docs.google.com/spreadsheets/d/1eHaY18a8A9IcSdp1K8H6x8fbOy06t2VsZHhMHf-1x7Y/edit?usp=sharing"",""แผน!AP78"")"),2)</f>
        <v>2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IFERROR(__xludf.DUMMYFUNCTION("IMPORTRANGE(""https://docs.google.com/spreadsheets/d/1eHaY18a8A9IcSdp1K8H6x8fbOy06t2VsZHhMHf-1x7Y/edit?usp=sharing"",""แผน!AP78"")"),2)</f>
        <v>2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50000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8500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IFERROR(__xludf.DUMMYFUNCTION("IMPORTRANGE(""https://docs.google.com/spreadsheets/d/1eHaY18a8A9IcSdp1K8H6x8fbOy06t2VsZHhMHf-1x7Y/edit?usp=sharing"",""แผน!AR78"")"),7000)</f>
        <v>7000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IFERROR(__xludf.DUMMYFUNCTION("IMPORTRANGE(""https://docs.google.com/spreadsheets/d/1eHaY18a8A9IcSdp1K8H6x8fbOy06t2VsZHhMHf-1x7Y/edit?usp=sharing"",""แผน!AS78"")"),1500)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IFERROR(__xludf.DUMMYFUNCTION("IMPORTRANGE(""https://docs.google.com/spreadsheets/d/1eHaY18a8A9IcSdp1K8H6x8fbOy06t2VsZHhMHf-1x7Y/edit?usp=sharing"",""แผน!AT78"")"),0)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IFERROR(__xludf.DUMMYFUNCTION("IMPORTRANGE(""https://docs.google.com/spreadsheets/d/1eHaY18a8A9IcSdp1K8H6x8fbOy06t2VsZHhMHf-1x7Y/edit?usp=sharing"",""แผน!AV78"")"),50000)</f>
        <v>50000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IFERROR(__xludf.DUMMYFUNCTION("IMPORTRANGE(""https://docs.google.com/spreadsheets/d/1eHaY18a8A9IcSdp1K8H6x8fbOy06t2VsZHhMHf-1x7Y/edit?usp=sharing"",""แผน!AV78"")"),50000)</f>
        <v>50000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IFERROR(__xludf.DUMMYFUNCTION("IMPORTRANGE(""https://docs.google.com/spreadsheets/d/1eHaY18a8A9IcSdp1K8H6x8fbOy06t2VsZHhMHf-1x7Y/edit?usp=sharing"",""แผน!AU78"")"),0)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40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209600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891" t="s">
        <v>157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101000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693" t="s">
        <v>81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5000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693" t="s">
        <v>82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45600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83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58000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40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 ca="1">I251+I262</f>
        <v>40</v>
      </c>
      <c r="J240" s="199">
        <f>J251+J262</f>
        <v>0</v>
      </c>
      <c r="K240" s="544">
        <f ca="1"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 ca="1">I252+I263</f>
        <v>6</v>
      </c>
      <c r="J241" s="199">
        <f>J252+J263</f>
        <v>0</v>
      </c>
      <c r="K241" s="544">
        <f ca="1">IF(I241&gt;0,J241*100/I241,0)</f>
        <v>0</v>
      </c>
      <c r="L241" s="663"/>
      <c r="M241" s="663"/>
      <c r="N241" s="663"/>
      <c r="O241" s="663"/>
      <c r="P241" s="663"/>
    </row>
    <row r="242" spans="1:16" ht="19.5" x14ac:dyDescent="0.3">
      <c r="A242" s="279"/>
      <c r="B242" s="280"/>
      <c r="C242" s="281" t="s">
        <v>163</v>
      </c>
      <c r="D242" s="282"/>
      <c r="E242" s="282"/>
      <c r="F242" s="282"/>
      <c r="G242" s="283"/>
      <c r="H242" s="284" t="s">
        <v>33</v>
      </c>
      <c r="I242" s="285">
        <f ca="1">I249</f>
        <v>40</v>
      </c>
      <c r="J242" s="285">
        <f>J249</f>
        <v>0</v>
      </c>
      <c r="K242" s="286">
        <f ca="1">IF(I242&gt;0,J242*100/I242,0)</f>
        <v>0</v>
      </c>
      <c r="L242" s="287"/>
      <c r="M242" s="287"/>
      <c r="N242" s="287"/>
      <c r="O242" s="287"/>
      <c r="P242" s="287"/>
    </row>
    <row r="243" spans="1:16" ht="19.5" x14ac:dyDescent="0.3">
      <c r="A243" s="157"/>
      <c r="B243" s="53"/>
      <c r="C243" s="158" t="s">
        <v>16</v>
      </c>
      <c r="D243" s="514" t="s">
        <v>17</v>
      </c>
      <c r="E243" s="53"/>
      <c r="F243" s="53"/>
      <c r="G243" s="55"/>
      <c r="H243" s="289" t="s">
        <v>12</v>
      </c>
      <c r="I243" s="164"/>
      <c r="J243" s="164"/>
      <c r="K243" s="165"/>
      <c r="L243" s="161">
        <f ca="1">L244+L245+L246+L247</f>
        <v>209600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78"/>
      <c r="C244" s="53"/>
      <c r="D244" s="889" t="s">
        <v>157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IFERROR(__xludf.DUMMYFUNCTION("IMPORTRANGE(""https://docs.google.com/spreadsheets/d/1eHaY18a8A9IcSdp1K8H6x8fbOy06t2VsZHhMHf-1x7Y/edit?usp=sharing"",""แผน!AX78"")"),101000)</f>
        <v>101000</v>
      </c>
      <c r="M244" s="58"/>
      <c r="N244" s="890">
        <v>0</v>
      </c>
      <c r="O244" s="58"/>
      <c r="P244" s="58"/>
    </row>
    <row r="245" spans="1:16" ht="18.75" x14ac:dyDescent="0.25">
      <c r="A245" s="274"/>
      <c r="B245" s="278"/>
      <c r="C245" s="278"/>
      <c r="D245" s="694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IFERROR(__xludf.DUMMYFUNCTION("IMPORTRANGE(""https://docs.google.com/spreadsheets/d/1eHaY18a8A9IcSdp1K8H6x8fbOy06t2VsZHhMHf-1x7Y/edit?usp=sharing"",""แผน!AY78"")"),5000)</f>
        <v>5000</v>
      </c>
      <c r="M245" s="58"/>
      <c r="N245" s="890">
        <v>0</v>
      </c>
      <c r="O245" s="58"/>
      <c r="P245" s="58"/>
    </row>
    <row r="246" spans="1:16" ht="18.75" x14ac:dyDescent="0.25">
      <c r="A246" s="274"/>
      <c r="B246" s="278"/>
      <c r="C246" s="278"/>
      <c r="D246" s="694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IFERROR(__xludf.DUMMYFUNCTION("IMPORTRANGE(""https://docs.google.com/spreadsheets/d/1eHaY18a8A9IcSdp1K8H6x8fbOy06t2VsZHhMHf-1x7Y/edit?usp=sharing"",""แผน!AZ78"")"),45600)</f>
        <v>45600</v>
      </c>
      <c r="M246" s="58"/>
      <c r="N246" s="890">
        <v>0</v>
      </c>
      <c r="O246" s="58"/>
      <c r="P246" s="58"/>
    </row>
    <row r="247" spans="1:16" ht="18.75" x14ac:dyDescent="0.25">
      <c r="A247" s="274"/>
      <c r="B247" s="278"/>
      <c r="C247" s="278"/>
      <c r="D247" s="293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IFERROR(__xludf.DUMMYFUNCTION("IMPORTRANGE(""https://docs.google.com/spreadsheets/d/1eHaY18a8A9IcSdp1K8H6x8fbOy06t2VsZHhMHf-1x7Y/edit?usp=sharing"",""แผน!BA78"")"),58000)</f>
        <v>58000</v>
      </c>
      <c r="M247" s="58"/>
      <c r="N247" s="890">
        <v>0</v>
      </c>
      <c r="O247" s="58"/>
      <c r="P247" s="58"/>
    </row>
    <row r="248" spans="1:16" ht="19.5" x14ac:dyDescent="0.3">
      <c r="A248" s="167"/>
      <c r="B248" s="168"/>
      <c r="C248" s="296" t="s">
        <v>16</v>
      </c>
      <c r="D248" s="512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3" t="s">
        <v>102</v>
      </c>
      <c r="E249" s="174"/>
      <c r="F249" s="174"/>
      <c r="G249" s="172"/>
      <c r="H249" s="295" t="s">
        <v>33</v>
      </c>
      <c r="I249" s="194">
        <f ca="1">IFERROR(__xludf.DUMMYFUNCTION("IMPORTRANGE(""https://docs.google.com/spreadsheets/d/1eHaY18a8A9IcSdp1K8H6x8fbOy06t2VsZHhMHf-1x7Y/edit?usp=sharing"",""แผน!BG78"")"),40)</f>
        <v>40</v>
      </c>
      <c r="J249" s="511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6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7" t="s">
        <v>103</v>
      </c>
      <c r="F251" s="174"/>
      <c r="G251" s="172"/>
      <c r="H251" s="295" t="s">
        <v>33</v>
      </c>
      <c r="I251" s="194">
        <f ca="1">IFERROR(__xludf.DUMMYFUNCTION("IMPORTRANGE(""https://docs.google.com/spreadsheets/d/1eHaY18a8A9IcSdp1K8H6x8fbOy06t2VsZHhMHf-1x7Y/edit?usp=sharing"",""แผน!KR78"")"),40)</f>
        <v>40</v>
      </c>
      <c r="J251" s="511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7" t="s">
        <v>104</v>
      </c>
      <c r="F252" s="174"/>
      <c r="G252" s="172"/>
      <c r="H252" s="295" t="s">
        <v>54</v>
      </c>
      <c r="I252" s="194">
        <f ca="1">IFERROR(__xludf.DUMMYFUNCTION("IMPORTRANGE(""https://docs.google.com/spreadsheets/d/1eHaY18a8A9IcSdp1K8H6x8fbOy06t2VsZHhMHf-1x7Y/edit?usp=sharing"",""แผน!KS78"")"),6)</f>
        <v>6</v>
      </c>
      <c r="J252" s="511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889" t="s">
        <v>157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IFERROR(__xludf.DUMMYFUNCTION("IMPORTRANGE(""https://docs.google.com/spreadsheets/d/1eHaY18a8A9IcSdp1K8H6x8fbOy06t2VsZHhMHf-1x7Y/edit?usp=sharing"",""แผน!BB78"")"),0)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694" t="s">
        <v>81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IFERROR(__xludf.DUMMYFUNCTION("IMPORTRANGE(""https://docs.google.com/spreadsheets/d/1eHaY18a8A9IcSdp1K8H6x8fbOy06t2VsZHhMHf-1x7Y/edit?usp=sharing"",""แผน!BC78"")"),0)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694" t="s">
        <v>82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IFERROR(__xludf.DUMMYFUNCTION("IMPORTRANGE(""https://docs.google.com/spreadsheets/d/1eHaY18a8A9IcSdp1K8H6x8fbOy06t2VsZHhMHf-1x7Y/edit?usp=sharing"",""แผน!BD78"")"),0)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293" t="s">
        <v>83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IFERROR(__xludf.DUMMYFUNCTION("IMPORTRANGE(""https://docs.google.com/spreadsheets/d/1eHaY18a8A9IcSdp1K8H6x8fbOy06t2VsZHhMHf-1x7Y/edit?usp=sharing"",""แผน!BE78"")"),0)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IFERROR(__xludf.DUMMYFUNCTION("IMPORTRANGE(""https://docs.google.com/spreadsheets/d/1eHaY18a8A9IcSdp1K8H6x8fbOy06t2VsZHhMHf-1x7Y/edit?usp=sharing"",""แผน!BH78"")"),0)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IFERROR(__xludf.DUMMYFUNCTION("IMPORTRANGE(""https://docs.google.com/spreadsheets/d/1-uDff_7J0KD5mKrp0Vvzr7lt3OU09vwQwhkpOPPYv2Y/edit?usp=sharing"",""งบพรบ!DE78"")"),0)</f>
        <v>0</v>
      </c>
      <c r="M271" s="544">
        <f ca="1">IFERROR(__xludf.DUMMYFUNCTION("IMPORTRANGE(""https://docs.google.com/spreadsheets/d/1-uDff_7J0KD5mKrp0Vvzr7lt3OU09vwQwhkpOPPYv2Y/edit?usp=sharing"",""งบพรบ!DJ78"")"),0)</f>
        <v>0</v>
      </c>
      <c r="N271" s="544">
        <f ca="1">IFERROR(__xludf.DUMMYFUNCTION("IMPORTRANGE(""https://docs.google.com/spreadsheets/d/1-uDff_7J0KD5mKrp0Vvzr7lt3OU09vwQwhkpOPPYv2Y/edit?usp=sharing"",""งบพรบ!DL78"")"),0)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IFERROR(__xludf.DUMMYFUNCTION("IMPORTRANGE(""https://docs.google.com/spreadsheets/d/1-uDff_7J0KD5mKrp0Vvzr7lt3OU09vwQwhkpOPPYv2Y/edit?usp=sharing"",""งบพรบ!DH78"")"),0)</f>
        <v>0</v>
      </c>
      <c r="M274" s="544">
        <f ca="1">IFERROR(__xludf.DUMMYFUNCTION("IMPORTRANGE(""https://docs.google.com/spreadsheets/d/1-uDff_7J0KD5mKrp0Vvzr7lt3OU09vwQwhkpOPPYv2Y/edit?usp=sharing"",""งบพรบ!DK78"")"),0)</f>
        <v>0</v>
      </c>
      <c r="N274" s="544">
        <f ca="1">IFERROR(__xludf.DUMMYFUNCTION("IMPORTRANGE(""https://docs.google.com/spreadsheets/d/1-uDff_7J0KD5mKrp0Vvzr7lt3OU09vwQwhkpOPPYv2Y/edit?usp=sharing"",""งบพรบ!DM78"")"),0)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IFERROR(__xludf.DUMMYFUNCTION("IMPORTRANGE(""https://docs.google.com/spreadsheets/d/1-uDff_7J0KD5mKrp0Vvzr7lt3OU09vwQwhkpOPPYv2Y/edit?usp=sharing"",""งบพรบ!DO78"")"),0)</f>
        <v>0</v>
      </c>
      <c r="M287" s="425">
        <f ca="1">IFERROR(__xludf.DUMMYFUNCTION("IMPORTRANGE(""https://docs.google.com/spreadsheets/d/1-uDff_7J0KD5mKrp0Vvzr7lt3OU09vwQwhkpOPPYv2Y/edit?usp=sharing"",""งบพรบ!DT78"")"),0)</f>
        <v>0</v>
      </c>
      <c r="N287" s="425">
        <f ca="1">IFERROR(__xludf.DUMMYFUNCTION("IMPORTRANGE(""https://docs.google.com/spreadsheets/d/1-uDff_7J0KD5mKrp0Vvzr7lt3OU09vwQwhkpOPPYv2Y/edit?usp=sharing"",""งบพรบ!DV78"")"),0)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IFERROR(__xludf.DUMMYFUNCTION("IMPORTRANGE(""https://docs.google.com/spreadsheets/d/1-uDff_7J0KD5mKrp0Vvzr7lt3OU09vwQwhkpOPPYv2Y/edit?usp=sharing"",""งบพรบ!DR78"")"),0)</f>
        <v>0</v>
      </c>
      <c r="M290" s="425">
        <f ca="1">IFERROR(__xludf.DUMMYFUNCTION("IMPORTRANGE(""https://docs.google.com/spreadsheets/d/1-uDff_7J0KD5mKrp0Vvzr7lt3OU09vwQwhkpOPPYv2Y/edit?usp=sharing"",""งบพรบ!DU78"")"),0)</f>
        <v>0</v>
      </c>
      <c r="N290" s="425">
        <f ca="1">IFERROR(__xludf.DUMMYFUNCTION("IMPORTRANGE(""https://docs.google.com/spreadsheets/d/1-uDff_7J0KD5mKrp0Vvzr7lt3OU09vwQwhkpOPPYv2Y/edit?usp=sharing"",""งบพรบ!DW78"")"),0)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IFERROR(__xludf.DUMMYFUNCTION("IMPORTRANGE(""https://docs.google.com/spreadsheets/d/1eHaY18a8A9IcSdp1K8H6x8fbOy06t2VsZHhMHf-1x7Y/edit?usp=sharing"",""แผน!EE78"")"),0)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IFERROR(__xludf.DUMMYFUNCTION("IMPORTRANGE(""https://docs.google.com/spreadsheets/d/1eHaY18a8A9IcSdp1K8H6x8fbOy06t2VsZHhMHf-1x7Y/edit?usp=sharing"",""แผน!ED78"")"),0)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IFERROR(__xludf.DUMMYFUNCTION("IMPORTRANGE(""https://docs.google.com/spreadsheets/d/1eHaY18a8A9IcSdp1K8H6x8fbOy06t2VsZHhMHf-1x7Y/edit?usp=sharing"",""แผน!ED78"")"),0)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IFERROR(__xludf.DUMMYFUNCTION("IMPORTRANGE(""https://docs.google.com/spreadsheets/d/1eHaY18a8A9IcSdp1K8H6x8fbOy06t2VsZHhMHf-1x7Y/edit?usp=sharing"",""แผน!ED78"")"),0)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IFERROR(__xludf.DUMMYFUNCTION("IMPORTRANGE(""https://docs.google.com/spreadsheets/d/1-uDff_7J0KD5mKrp0Vvzr7lt3OU09vwQwhkpOPPYv2Y/edit?usp=sharing"",""งบพรบ!DY78"")"),0)</f>
        <v>0</v>
      </c>
      <c r="M308" s="425">
        <f ca="1">IFERROR(__xludf.DUMMYFUNCTION("IMPORTRANGE(""https://docs.google.com/spreadsheets/d/1-uDff_7J0KD5mKrp0Vvzr7lt3OU09vwQwhkpOPPYv2Y/edit?usp=sharing"",""งบพรบ!ED78"")"),0)</f>
        <v>0</v>
      </c>
      <c r="N308" s="425">
        <f ca="1">IFERROR(__xludf.DUMMYFUNCTION("IMPORTRANGE(""https://docs.google.com/spreadsheets/d/1-uDff_7J0KD5mKrp0Vvzr7lt3OU09vwQwhkpOPPYv2Y/edit?usp=sharing"",""งบพรบ!EF78"")"),0)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IFERROR(__xludf.DUMMYFUNCTION("IMPORTRANGE(""https://docs.google.com/spreadsheets/d/1-uDff_7J0KD5mKrp0Vvzr7lt3OU09vwQwhkpOPPYv2Y/edit?usp=sharing"",""งบพรบ!EB78"")"),0)</f>
        <v>0</v>
      </c>
      <c r="M311" s="425">
        <f ca="1">IFERROR(__xludf.DUMMYFUNCTION("IMPORTRANGE(""https://docs.google.com/spreadsheets/d/1-uDff_7J0KD5mKrp0Vvzr7lt3OU09vwQwhkpOPPYv2Y/edit?usp=sharing"",""งบพรบ!EE78"")"),0)</f>
        <v>0</v>
      </c>
      <c r="N311" s="425">
        <f ca="1">IFERROR(__xludf.DUMMYFUNCTION("IMPORTRANGE(""https://docs.google.com/spreadsheets/d/1-uDff_7J0KD5mKrp0Vvzr7lt3OU09vwQwhkpOPPYv2Y/edit?usp=sharing"",""งบพรบ!EG78"")"),0)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IFERROR(__xludf.DUMMYFUNCTION("IMPORTRANGE(""https://docs.google.com/spreadsheets/d/1eHaY18a8A9IcSdp1K8H6x8fbOy06t2VsZHhMHf-1x7Y/edit?usp=sharing"",""แผน!EF78"")"),0)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IFERROR(__xludf.DUMMYFUNCTION("IMPORTRANGE(""https://docs.google.com/spreadsheets/d/1eHaY18a8A9IcSdp1K8H6x8fbOy06t2VsZHhMHf-1x7Y/edit?usp=sharing"",""แผน!EG78"")"),0)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IFERROR(__xludf.DUMMYFUNCTION("IMPORTRANGE(""https://docs.google.com/spreadsheets/d/1eHaY18a8A9IcSdp1K8H6x8fbOy06t2VsZHhMHf-1x7Y/edit?usp=sharing"",""แผน!EH78"")"),0)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IFERROR(__xludf.DUMMYFUNCTION("IMPORTRANGE(""https://docs.google.com/spreadsheets/d/1eHaY18a8A9IcSdp1K8H6x8fbOy06t2VsZHhMHf-1x7Y/edit?usp=sharing"",""แผน!EI78"")"),0)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IFERROR(__xludf.DUMMYFUNCTION("IMPORTRANGE(""https://docs.google.com/spreadsheets/d/1-uDff_7J0KD5mKrp0Vvzr7lt3OU09vwQwhkpOPPYv2Y/edit?usp=sharing"",""งบพรบ!EI78"")"),0)</f>
        <v>0</v>
      </c>
      <c r="M325" s="425">
        <f ca="1">IFERROR(__xludf.DUMMYFUNCTION("IMPORTRANGE(""https://docs.google.com/spreadsheets/d/1-uDff_7J0KD5mKrp0Vvzr7lt3OU09vwQwhkpOPPYv2Y/edit?usp=sharing"",""งบพรบ!EN78"")"),0)</f>
        <v>0</v>
      </c>
      <c r="N325" s="425">
        <f ca="1">IFERROR(__xludf.DUMMYFUNCTION("IMPORTRANGE(""https://docs.google.com/spreadsheets/d/1-uDff_7J0KD5mKrp0Vvzr7lt3OU09vwQwhkpOPPYv2Y/edit?usp=sharing"",""งบพรบ!EP78"")"),0)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IFERROR(__xludf.DUMMYFUNCTION("IMPORTRANGE(""https://docs.google.com/spreadsheets/d/1-uDff_7J0KD5mKrp0Vvzr7lt3OU09vwQwhkpOPPYv2Y/edit?usp=sharing"",""งบพรบ!EL78"")"),0)</f>
        <v>0</v>
      </c>
      <c r="M328" s="425">
        <f ca="1">IFERROR(__xludf.DUMMYFUNCTION("IMPORTRANGE(""https://docs.google.com/spreadsheets/d/1-uDff_7J0KD5mKrp0Vvzr7lt3OU09vwQwhkpOPPYv2Y/edit?usp=sharing"",""งบพรบ!EO78"")"),0)</f>
        <v>0</v>
      </c>
      <c r="N328" s="425">
        <f ca="1">IFERROR(__xludf.DUMMYFUNCTION("IMPORTRANGE(""https://docs.google.com/spreadsheets/d/1-uDff_7J0KD5mKrp0Vvzr7lt3OU09vwQwhkpOPPYv2Y/edit?usp=sharing"",""งบพรบ!EQ78"")"),0)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IFERROR(__xludf.DUMMYFUNCTION("IMPORTRANGE(""https://docs.google.com/spreadsheets/d/1eHaY18a8A9IcSdp1K8H6x8fbOy06t2VsZHhMHf-1x7Y/edit?usp=sharing"",""แผน!EJ78"")"),0)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1060</v>
      </c>
      <c r="J332" s="402">
        <f ca="1">J344+J347+J348+J349+J353</f>
        <v>2192</v>
      </c>
      <c r="K332" s="403">
        <f ca="1">IF(I332&gt;0,J332*100/I332,0)</f>
        <v>206.79245283018867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110000</v>
      </c>
      <c r="M333" s="550">
        <f ca="1">M334+M335</f>
        <v>85750</v>
      </c>
      <c r="N333" s="550">
        <f ca="1">N334+N335</f>
        <v>29576.6</v>
      </c>
      <c r="O333" s="550">
        <f ca="1">IF(L333&gt;0,N333*100/L333,0)</f>
        <v>26.887818181818183</v>
      </c>
      <c r="P333" s="550">
        <f ca="1">IF(M333&gt;0,N333*100/M333,0)</f>
        <v>34.491661807580172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110000</v>
      </c>
      <c r="M335" s="425">
        <f ca="1">M338+M341</f>
        <v>85750</v>
      </c>
      <c r="N335" s="425">
        <f ca="1">N338+N341</f>
        <v>29576.6</v>
      </c>
      <c r="O335" s="425">
        <f ca="1">IF(L335&gt;0,N335*100/L335,0)</f>
        <v>26.887818181818183</v>
      </c>
      <c r="P335" s="425">
        <f ca="1">IF(M335&gt;0,N335*100/M335,0)</f>
        <v>34.491661807580172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110000</v>
      </c>
      <c r="M336" s="425">
        <f ca="1">M337+M338</f>
        <v>85750</v>
      </c>
      <c r="N336" s="425">
        <f ca="1">N337+N338</f>
        <v>29576.6</v>
      </c>
      <c r="O336" s="425">
        <f ca="1">IF(L336&gt;0,N336*100/L336,0)</f>
        <v>26.887818181818183</v>
      </c>
      <c r="P336" s="425">
        <f ca="1">IF(M336&gt;0,N336*100/M336,0)</f>
        <v>34.491661807580172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IFERROR(__xludf.DUMMYFUNCTION("IMPORTRANGE(""https://docs.google.com/spreadsheets/d/1-uDff_7J0KD5mKrp0Vvzr7lt3OU09vwQwhkpOPPYv2Y/edit?usp=sharing"",""งบพรบ!ES78"")"),110000)</f>
        <v>110000</v>
      </c>
      <c r="M338" s="425">
        <f ca="1">IFERROR(__xludf.DUMMYFUNCTION("IMPORTRANGE(""https://docs.google.com/spreadsheets/d/1-uDff_7J0KD5mKrp0Vvzr7lt3OU09vwQwhkpOPPYv2Y/edit?usp=sharing"",""งบพรบ!EX78"")"),85750)</f>
        <v>85750</v>
      </c>
      <c r="N338" s="425">
        <f ca="1">IFERROR(__xludf.DUMMYFUNCTION("IMPORTRANGE(""https://docs.google.com/spreadsheets/d/1-uDff_7J0KD5mKrp0Vvzr7lt3OU09vwQwhkpOPPYv2Y/edit?usp=sharing"",""งบพรบ!EZ78"")"),29576.6)</f>
        <v>29576.6</v>
      </c>
      <c r="O338" s="425">
        <f ca="1">IF(L338&gt;0,N338*100/L338,0)</f>
        <v>26.887818181818183</v>
      </c>
      <c r="P338" s="425">
        <f ca="1">IF(M338&gt;0,N338*100/M338,0)</f>
        <v>34.491661807580172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IFERROR(__xludf.DUMMYFUNCTION("IMPORTRANGE(""https://docs.google.com/spreadsheets/d/1-uDff_7J0KD5mKrp0Vvzr7lt3OU09vwQwhkpOPPYv2Y/edit?usp=sharing"",""งบพรบ!EV78"")"),0)</f>
        <v>0</v>
      </c>
      <c r="M341" s="425">
        <f ca="1">IFERROR(__xludf.DUMMYFUNCTION("IMPORTRANGE(""https://docs.google.com/spreadsheets/d/1-uDff_7J0KD5mKrp0Vvzr7lt3OU09vwQwhkpOPPYv2Y/edit?usp=sharing"",""งบพรบ!EY78"")"),0)</f>
        <v>0</v>
      </c>
      <c r="N341" s="425">
        <f ca="1">IFERROR(__xludf.DUMMYFUNCTION("IMPORTRANGE(""https://docs.google.com/spreadsheets/d/1-uDff_7J0KD5mKrp0Vvzr7lt3OU09vwQwhkpOPPYv2Y/edit?usp=sharing"",""งบพรบ!FA78"")"),0)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1179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IFERROR(__xludf.DUMMYFUNCTION("IMPORTRANGE(""https://docs.google.com/spreadsheets/d/1eHaY18a8A9IcSdp1K8H6x8fbOy06t2VsZHhMHf-1x7Y/edit?usp=sharing"",""แผน!EK78"")"),1060)</f>
        <v>1060</v>
      </c>
      <c r="J344" s="424">
        <f ca="1">IFERROR(__xludf.DUMMYFUNCTION("IMPORTRANGE(""https://docs.google.com/spreadsheets/d/1awYsYK3VOup2i3Pq_Yjnu8DRu_mYwSBnCR2QPthd0rU/edit?usp=sharing"",""ศูนย์ยกเว้นโฉนด!D78"")"),1178)</f>
        <v>1178</v>
      </c>
      <c r="K344" s="425">
        <f ca="1">IF(I344&gt;0,J344*100/I344,0)</f>
        <v>111.13207547169812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IFERROR(__xludf.DUMMYFUNCTION("IMPORTRANGE(""https://docs.google.com/spreadsheets/d/1eHaY18a8A9IcSdp1K8H6x8fbOy06t2VsZHhMHf-1x7Y/edit?usp=sharing"",""แผน!EL78"")"),5)</f>
        <v>5</v>
      </c>
      <c r="J346" s="424">
        <f ca="1">IFERROR(__xludf.DUMMYFUNCTION("IMPORTRANGE(""https://docs.google.com/spreadsheets/d/1awYsYK3VOup2i3Pq_Yjnu8DRu_mYwSBnCR2QPthd0rU/edit?usp=sharing"",""ศูนย์รวม!E78"")"),1)</f>
        <v>1</v>
      </c>
      <c r="K346" s="425">
        <f ca="1">IF(I346&gt;0,J346*100/I346,0)</f>
        <v>20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IFERROR(__xludf.DUMMYFUNCTION("IMPORTRANGE(""https://docs.google.com/spreadsheets/d/1awYsYK3VOup2i3Pq_Yjnu8DRu_mYwSBnCR2QPthd0rU/edit?usp=sharing"",""ศูนย์ยกเว้นโฉนด!F78"")"),1)</f>
        <v>1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IFERROR(__xludf.DUMMYFUNCTION("IMPORTRANGE(""https://docs.google.com/spreadsheets/d/1awYsYK3VOup2i3Pq_Yjnu8DRu_mYwSBnCR2QPthd0rU/edit?usp=sharing"",""ศูนย์ยกเว้นโฉนด!G78"")"),0)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IFERROR(__xludf.DUMMYFUNCTION("IMPORTRANGE(""https://docs.google.com/spreadsheets/d/1awYsYK3VOup2i3Pq_Yjnu8DRu_mYwSBnCR2QPthd0rU/edit?usp=sharing"",""ศูนย์ยกเว้นโฉนด!H78"")"),0)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2340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IFERROR(__xludf.DUMMYFUNCTION("IMPORTRANGE(""https://docs.google.com/spreadsheets/d/1awYsYK3VOup2i3Pq_Yjnu8DRu_mYwSBnCR2QPthd0rU/edit?usp=sharing"",""โฉนดM3!G78"")"),1327)</f>
        <v>1327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IFERROR(__xludf.DUMMYFUNCTION("IMPORTRANGE(""https://docs.google.com/spreadsheets/d/1awYsYK3VOup2i3Pq_Yjnu8DRu_mYwSBnCR2QPthd0rU/edit?usp=sharing"",""โฉนดM3!H78"")"),1013)</f>
        <v>1013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760985</v>
      </c>
      <c r="M356" s="550">
        <f ca="1">M357+M358</f>
        <v>675385</v>
      </c>
      <c r="N356" s="550">
        <f ca="1">N357+N358</f>
        <v>88227.32</v>
      </c>
      <c r="O356" s="550">
        <f ca="1">IF(L356&gt;0,N356*100/L356,0)</f>
        <v>11.593831678679607</v>
      </c>
      <c r="P356" s="550">
        <f ca="1">IF(M356&gt;0,N356*100/M356,0)</f>
        <v>13.063263175818237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760985</v>
      </c>
      <c r="M358" s="425">
        <f ca="1">M361+M364</f>
        <v>675385</v>
      </c>
      <c r="N358" s="425">
        <f ca="1">N361+N364</f>
        <v>88227.32</v>
      </c>
      <c r="O358" s="425">
        <f ca="1">IF(L358&gt;0,N358*100/L358,0)</f>
        <v>11.593831678679607</v>
      </c>
      <c r="P358" s="425">
        <f ca="1">IF(M358&gt;0,N358*100/M358,0)</f>
        <v>13.063263175818237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760985</v>
      </c>
      <c r="M359" s="425">
        <f ca="1">M360+M361</f>
        <v>675385</v>
      </c>
      <c r="N359" s="425">
        <f ca="1">N360+N361</f>
        <v>88227.32</v>
      </c>
      <c r="O359" s="425">
        <f ca="1">IF(L359&gt;0,N359*100/L359,0)</f>
        <v>11.593831678679607</v>
      </c>
      <c r="P359" s="425">
        <f ca="1">IF(M359&gt;0,N359*100/M359,0)</f>
        <v>13.063263175818237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IFERROR(__xludf.DUMMYFUNCTION("IMPORTRANGE(""https://docs.google.com/spreadsheets/d/1-uDff_7J0KD5mKrp0Vvzr7lt3OU09vwQwhkpOPPYv2Y/edit?usp=sharing"",""งบพรบ!FC78"")"),760985)</f>
        <v>760985</v>
      </c>
      <c r="M361" s="425">
        <f ca="1">IFERROR(__xludf.DUMMYFUNCTION("IMPORTRANGE(""https://docs.google.com/spreadsheets/d/1-uDff_7J0KD5mKrp0Vvzr7lt3OU09vwQwhkpOPPYv2Y/edit?usp=sharing"",""งบพรบ!FH78"")"),675385)</f>
        <v>675385</v>
      </c>
      <c r="N361" s="425">
        <f ca="1">IFERROR(__xludf.DUMMYFUNCTION("IMPORTRANGE(""https://docs.google.com/spreadsheets/d/1-uDff_7J0KD5mKrp0Vvzr7lt3OU09vwQwhkpOPPYv2Y/edit?usp=sharing"",""งบพรบ!FJ78"")"),88227.32)</f>
        <v>88227.32</v>
      </c>
      <c r="O361" s="425">
        <f ca="1">IF(L361&gt;0,N361*100/L361,0)</f>
        <v>11.593831678679607</v>
      </c>
      <c r="P361" s="425">
        <f ca="1">IF(M361&gt;0,N361*100/M361,0)</f>
        <v>13.063263175818237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IFERROR(__xludf.DUMMYFUNCTION("IMPORTRANGE(""https://docs.google.com/spreadsheets/d/1-uDff_7J0KD5mKrp0Vvzr7lt3OU09vwQwhkpOPPYv2Y/edit?usp=sharing"",""งบพรบ!FF78"")"),0)</f>
        <v>0</v>
      </c>
      <c r="M364" s="425">
        <f ca="1">IFERROR(__xludf.DUMMYFUNCTION("IMPORTRANGE(""https://docs.google.com/spreadsheets/d/1-uDff_7J0KD5mKrp0Vvzr7lt3OU09vwQwhkpOPPYv2Y/edit?usp=sharing"",""งบพรบ!FI78"")"),0)</f>
        <v>0</v>
      </c>
      <c r="N364" s="425">
        <f ca="1">IFERROR(__xludf.DUMMYFUNCTION("IMPORTRANGE(""https://docs.google.com/spreadsheets/d/1-uDff_7J0KD5mKrp0Vvzr7lt3OU09vwQwhkpOPPYv2Y/edit?usp=sharing"",""งบพรบ!FK78"")"),0)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468</v>
      </c>
      <c r="J365" s="438">
        <f ca="1">J371</f>
        <v>27</v>
      </c>
      <c r="K365" s="439">
        <f ca="1">IF(I365&gt;0,J365*100/I365,0)</f>
        <v>5.7692307692307692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IFERROR(__xludf.DUMMYFUNCTION("IMPORTRANGE(""https://docs.google.com/spreadsheets/d/1tdoBKaGub7dwA3U6UFTqxio9LNnvDCQjHKmttSEBsFQ/edit?usp=sharing"",""จัดที่ดิน!AB78"")"),9)</f>
        <v>9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IFERROR(__xludf.DUMMYFUNCTION("IMPORTRANGE(""https://docs.google.com/spreadsheets/d/1eHaY18a8A9IcSdp1K8H6x8fbOy06t2VsZHhMHf-1x7Y/edit?usp=sharing"",""แผน!EW78"")"),4210)</f>
        <v>4210</v>
      </c>
      <c r="J368" s="528">
        <f ca="1">IFERROR(__xludf.DUMMYFUNCTION("IMPORTRANGE(""https://docs.google.com/spreadsheets/d/1tdoBKaGub7dwA3U6UFTqxio9LNnvDCQjHKmttSEBsFQ/edit?usp=sharing"",""จัดที่ดิน!AC78"")"),54.75)</f>
        <v>54.75</v>
      </c>
      <c r="K368" s="425">
        <f ca="1">IF(I368&gt;0,J368*100/I368,0)</f>
        <v>1.3004750593824228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IFERROR(__xludf.DUMMYFUNCTION("IMPORTRANGE(""https://docs.google.com/spreadsheets/d/1eHaY18a8A9IcSdp1K8H6x8fbOy06t2VsZHhMHf-1x7Y/edit?usp=sharing"",""แผน!EX78"")"),717)</f>
        <v>717</v>
      </c>
      <c r="J369" s="424">
        <f ca="1">IFERROR(__xludf.DUMMYFUNCTION("IMPORTRANGE(""https://docs.google.com/spreadsheets/d/1tdoBKaGub7dwA3U6UFTqxio9LNnvDCQjHKmttSEBsFQ/edit?usp=sharing"",""จัดที่ดิน!AD78"")"),47)</f>
        <v>47</v>
      </c>
      <c r="K369" s="425">
        <f ca="1">IF(I369&gt;0,J369*100/I369,0)</f>
        <v>6.5550906555090656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IFERROR(__xludf.DUMMYFUNCTION("IMPORTRANGE(""https://docs.google.com/spreadsheets/d/1tdoBKaGub7dwA3U6UFTqxio9LNnvDCQjHKmttSEBsFQ/edit?usp=sharing"",""จัดที่ดิน!AE78"")"),595.39)</f>
        <v>595.39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IFERROR(__xludf.DUMMYFUNCTION("IMPORTRANGE(""https://docs.google.com/spreadsheets/d/1eHaY18a8A9IcSdp1K8H6x8fbOy06t2VsZHhMHf-1x7Y/edit?usp=sharing"",""แผน!EY78"")"),468)</f>
        <v>468</v>
      </c>
      <c r="J371" s="424">
        <f ca="1">IFERROR(__xludf.DUMMYFUNCTION("IMPORTRANGE(""https://docs.google.com/spreadsheets/d/1tdoBKaGub7dwA3U6UFTqxio9LNnvDCQjHKmttSEBsFQ/edit?usp=sharing"",""จัดที่ดิน!AF78"")"),27)</f>
        <v>27</v>
      </c>
      <c r="K371" s="425">
        <f ca="1">IF(I371&gt;0,J371*100/I371,0)</f>
        <v>5.7692307692307692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IFERROR(__xludf.DUMMYFUNCTION("IMPORTRANGE(""https://docs.google.com/spreadsheets/d/1tdoBKaGub7dwA3U6UFTqxio9LNnvDCQjHKmttSEBsFQ/edit?usp=sharing"",""จัดที่ดิน!AG78"")"),380.51)</f>
        <v>380.51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IFERROR(__xludf.DUMMYFUNCTION("IMPORTRANGE(""https://docs.google.com/spreadsheets/d/1-uDff_7J0KD5mKrp0Vvzr7lt3OU09vwQwhkpOPPYv2Y/edit?usp=sharing"",""งบพรบ!FM78"")"),0)</f>
        <v>0</v>
      </c>
      <c r="M382" s="544">
        <f ca="1">IFERROR(__xludf.DUMMYFUNCTION("IMPORTRANGE(""https://docs.google.com/spreadsheets/d/1-uDff_7J0KD5mKrp0Vvzr7lt3OU09vwQwhkpOPPYv2Y/edit?usp=sharing"",""งบพรบ!FR78"")"),0)</f>
        <v>0</v>
      </c>
      <c r="N382" s="544">
        <f ca="1">IFERROR(__xludf.DUMMYFUNCTION("IMPORTRANGE(""https://docs.google.com/spreadsheets/d/1-uDff_7J0KD5mKrp0Vvzr7lt3OU09vwQwhkpOPPYv2Y/edit?usp=sharing"",""งบพรบ!FT78"")"),0)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IFERROR(__xludf.DUMMYFUNCTION("IMPORTRANGE(""https://docs.google.com/spreadsheets/d/1-uDff_7J0KD5mKrp0Vvzr7lt3OU09vwQwhkpOPPYv2Y/edit?usp=sharing"",""งบพรบ!FP78"")"),0)</f>
        <v>0</v>
      </c>
      <c r="M385" s="544">
        <f ca="1">IFERROR(__xludf.DUMMYFUNCTION("IMPORTRANGE(""https://docs.google.com/spreadsheets/d/1-uDff_7J0KD5mKrp0Vvzr7lt3OU09vwQwhkpOPPYv2Y/edit?usp=sharing"",""งบพรบ!FS78"")"),0)</f>
        <v>0</v>
      </c>
      <c r="N385" s="544">
        <f ca="1">IFERROR(__xludf.DUMMYFUNCTION("IMPORTRANGE(""https://docs.google.com/spreadsheets/d/1-uDff_7J0KD5mKrp0Vvzr7lt3OU09vwQwhkpOPPYv2Y/edit?usp=sharing"",""งบพรบ!FU78"")"),0)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89F4-AD0B-4E0A-84C1-35303854CF22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165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1135795</v>
      </c>
      <c r="M18" s="709">
        <f ca="1">M19+M20</f>
        <v>957745</v>
      </c>
      <c r="N18" s="709">
        <f ca="1">N19+N20</f>
        <v>359956.14</v>
      </c>
      <c r="O18" s="709">
        <f ca="1">IF(L18&gt;0,N18*100/L18,0)</f>
        <v>31.691998996297748</v>
      </c>
      <c r="P18" s="709">
        <f ca="1">IF(M18&gt;0,N18*100/M18,0)</f>
        <v>37.58371382779341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1135795</v>
      </c>
      <c r="M20" s="822">
        <f ca="1">M23+M26</f>
        <v>957745</v>
      </c>
      <c r="N20" s="822">
        <f ca="1">N23+N26</f>
        <v>359956.14</v>
      </c>
      <c r="O20" s="822">
        <f ca="1">IF(L20&gt;0,N20*100/L20,0)</f>
        <v>31.691998996297748</v>
      </c>
      <c r="P20" s="822">
        <f ca="1">IF(M20&gt;0,N20*100/M20,0)</f>
        <v>37.58371382779341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1135795</v>
      </c>
      <c r="M21" s="425">
        <f ca="1">M22+M23</f>
        <v>957745</v>
      </c>
      <c r="N21" s="425">
        <f ca="1">N22+N23</f>
        <v>359956.14</v>
      </c>
      <c r="O21" s="425">
        <f ca="1">IF(L21&gt;0,N21*100/L21,0)</f>
        <v>31.691998996297748</v>
      </c>
      <c r="P21" s="425">
        <f ca="1">IF(M21&gt;0,N21*100/M21,0)</f>
        <v>37.58371382779341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1135795</v>
      </c>
      <c r="M23" s="425">
        <f ca="1">M49+M64+M77+M99+M130+M144+M162+M191+M178+M271+M287+M308+M325+M338+M361+M382</f>
        <v>957745</v>
      </c>
      <c r="N23" s="425">
        <f ca="1">N49+N64+N77+N99+N130+N144+N162+N191+N178+N271+N287+N308+N325+N338+N361+N382</f>
        <v>359956.14</v>
      </c>
      <c r="O23" s="425">
        <f ca="1">IF(L23&gt;0,N23*100/L23,0)</f>
        <v>31.691998996297748</v>
      </c>
      <c r="P23" s="425">
        <f ca="1">IF(M23&gt;0,N23*100/M23,0)</f>
        <v>37.58371382779341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1135795</v>
      </c>
      <c r="M40" s="814">
        <f ca="1">M44+M59+M72+M94+M125+M139+M157+M173+M186+M266+M282+M303+M320+M333+M356</f>
        <v>957745</v>
      </c>
      <c r="N40" s="814">
        <f ca="1">N44+N59+N72+N94+N125+N139+N157+N173+N186+N266+N282+N303+N320+N333+N356</f>
        <v>359956.14</v>
      </c>
      <c r="O40" s="814">
        <f ca="1">IF(L40&gt;0,N40*100/L40,0)</f>
        <v>31.691998996297748</v>
      </c>
      <c r="P40" s="814">
        <f ca="1">IF(M40&gt;0,N40*100/M40,0)</f>
        <v>37.58371382779341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201350</v>
      </c>
      <c r="M44" s="799">
        <f ca="1">M45+M46</f>
        <v>250100</v>
      </c>
      <c r="N44" s="799">
        <f ca="1">N45+N46</f>
        <v>108750</v>
      </c>
      <c r="O44" s="799">
        <f ca="1">IF(L44&gt;0,N44*100/L44,0)</f>
        <v>54.010429600198663</v>
      </c>
      <c r="P44" s="799">
        <f ca="1">IF(M44&gt;0,N44*100/M44,0)</f>
        <v>43.482606957217115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201350</v>
      </c>
      <c r="M46" s="788">
        <f ca="1">M49+M52</f>
        <v>250100</v>
      </c>
      <c r="N46" s="788">
        <f ca="1">N49+N52</f>
        <v>108750</v>
      </c>
      <c r="O46" s="788">
        <f ca="1">IF(L46&gt;0,N46*100/L46,0)</f>
        <v>54.010429600198663</v>
      </c>
      <c r="P46" s="788">
        <f ca="1">IF(M46&gt;0,N46*100/M46,0)</f>
        <v>43.482606957217115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201350</v>
      </c>
      <c r="M47" s="425">
        <f ca="1">M48+M49</f>
        <v>250100</v>
      </c>
      <c r="N47" s="425">
        <f ca="1">N48+N49</f>
        <v>108750</v>
      </c>
      <c r="O47" s="425">
        <f ca="1">IF(L47&gt;0,N47*100/L47,0)</f>
        <v>54.010429600198663</v>
      </c>
      <c r="P47" s="425">
        <f ca="1">IF(M47&gt;0,N47*100/M47,0)</f>
        <v>43.482606957217115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IFERROR(__xludf.DUMMYFUNCTION("IMPORTRANGE(""https://docs.google.com/spreadsheets/d/1-uDff_7J0KD5mKrp0Vvzr7lt3OU09vwQwhkpOPPYv2Y/edit?usp=sharing"",""งบพรบ!P79"")"),201350)</f>
        <v>201350</v>
      </c>
      <c r="M49" s="425">
        <f ca="1">IFERROR(__xludf.DUMMYFUNCTION("IMPORTRANGE(""https://docs.google.com/spreadsheets/d/1-uDff_7J0KD5mKrp0Vvzr7lt3OU09vwQwhkpOPPYv2Y/edit?usp=sharing"",""งบพรบ!V79"")"),250100)</f>
        <v>250100</v>
      </c>
      <c r="N49" s="425">
        <f ca="1">IFERROR(__xludf.DUMMYFUNCTION("IMPORTRANGE(""https://docs.google.com/spreadsheets/d/1-uDff_7J0KD5mKrp0Vvzr7lt3OU09vwQwhkpOPPYv2Y/edit?usp=sharing"",""งบพรบ!Y79"")"),108750)</f>
        <v>108750</v>
      </c>
      <c r="O49" s="425">
        <f ca="1">IF(L49&gt;0,N49*100/L49,0)</f>
        <v>54.010429600198663</v>
      </c>
      <c r="P49" s="425">
        <f ca="1">IF(M49&gt;0,N49*100/M49,0)</f>
        <v>43.482606957217115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IFERROR(__xludf.DUMMYFUNCTION("IMPORTRANGE(""https://docs.google.com/spreadsheets/d/1-uDff_7J0KD5mKrp0Vvzr7lt3OU09vwQwhkpOPPYv2Y/edit?usp=sharing"",""งบพรบ!S79"")"),0)</f>
        <v>0</v>
      </c>
      <c r="M52" s="425">
        <f ca="1">IFERROR(__xludf.DUMMYFUNCTION("IMPORTRANGE(""https://docs.google.com/spreadsheets/d/1-uDff_7J0KD5mKrp0Vvzr7lt3OU09vwQwhkpOPPYv2Y/edit?usp=sharing"",""งบพรบ!W79"")"),0)</f>
        <v>0</v>
      </c>
      <c r="N52" s="425">
        <f ca="1">IFERROR(__xludf.DUMMYFUNCTION("IMPORTRANGE(""https://docs.google.com/spreadsheets/d/1-uDff_7J0KD5mKrp0Vvzr7lt3OU09vwQwhkpOPPYv2Y/edit?usp=sharing"",""งบพรบ!Z79"")"),0)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380700</v>
      </c>
      <c r="M59" s="768">
        <f ca="1">M60+M61</f>
        <v>287550</v>
      </c>
      <c r="N59" s="768">
        <f ca="1">N60+N61</f>
        <v>138258.14000000001</v>
      </c>
      <c r="O59" s="768">
        <f ca="1">IF(L59&gt;0,N59*100/L59,0)</f>
        <v>36.316821644339377</v>
      </c>
      <c r="P59" s="768">
        <f ca="1">IF(M59&gt;0,N59*100/M59,0)</f>
        <v>48.081425838984529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380700</v>
      </c>
      <c r="M61" s="757">
        <f ca="1">M64+M67</f>
        <v>287550</v>
      </c>
      <c r="N61" s="757">
        <f ca="1">N64+N67</f>
        <v>138258.14000000001</v>
      </c>
      <c r="O61" s="757">
        <f ca="1">IF(L61&gt;0,N61*100/L61,0)</f>
        <v>36.316821644339377</v>
      </c>
      <c r="P61" s="757">
        <f ca="1">IF(M61&gt;0,N61*100/M61,0)</f>
        <v>48.081425838984529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380700</v>
      </c>
      <c r="M62" s="425">
        <f ca="1">M63+M64</f>
        <v>287550</v>
      </c>
      <c r="N62" s="425">
        <f ca="1">N63+N64</f>
        <v>138258.14000000001</v>
      </c>
      <c r="O62" s="425">
        <f ca="1">IF(L62&gt;0,N62*100/L62,0)</f>
        <v>36.316821644339377</v>
      </c>
      <c r="P62" s="425">
        <f ca="1">IF(M62&gt;0,N62*100/M62,0)</f>
        <v>48.081425838984529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IFERROR(__xludf.DUMMYFUNCTION("IMPORTRANGE(""https://docs.google.com/spreadsheets/d/1-uDff_7J0KD5mKrp0Vvzr7lt3OU09vwQwhkpOPPYv2Y/edit?usp=sharing"",""งบพรบ!AC79"")"),380700)</f>
        <v>380700</v>
      </c>
      <c r="M64" s="425">
        <f ca="1">IFERROR(__xludf.DUMMYFUNCTION("IMPORTRANGE(""https://docs.google.com/spreadsheets/d/1-uDff_7J0KD5mKrp0Vvzr7lt3OU09vwQwhkpOPPYv2Y/edit?usp=sharing"",""งบพรบ!AH79"")"),287550)</f>
        <v>287550</v>
      </c>
      <c r="N64" s="425">
        <f ca="1">IFERROR(__xludf.DUMMYFUNCTION("IMPORTRANGE(""https://docs.google.com/spreadsheets/d/1-uDff_7J0KD5mKrp0Vvzr7lt3OU09vwQwhkpOPPYv2Y/edit?usp=sharing"",""งบพรบ!AJ79"")"),138258.14)</f>
        <v>138258.14000000001</v>
      </c>
      <c r="O64" s="425">
        <f ca="1">IF(L64&gt;0,N64*100/L64,0)</f>
        <v>36.316821644339377</v>
      </c>
      <c r="P64" s="425">
        <f ca="1">IF(M64&gt;0,N64*100/M64,0)</f>
        <v>48.081425838984529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IFERROR(__xludf.DUMMYFUNCTION("IMPORTRANGE(""https://docs.google.com/spreadsheets/d/1-uDff_7J0KD5mKrp0Vvzr7lt3OU09vwQwhkpOPPYv2Y/edit?usp=sharing"",""งบพรบ!AF79"")"),0)</f>
        <v>0</v>
      </c>
      <c r="M67" s="752">
        <f ca="1">IFERROR(__xludf.DUMMYFUNCTION("IMPORTRANGE(""https://docs.google.com/spreadsheets/d/1-uDff_7J0KD5mKrp0Vvzr7lt3OU09vwQwhkpOPPYv2Y/edit?usp=sharing"",""งบพรบ!AI79"")"),0)</f>
        <v>0</v>
      </c>
      <c r="N67" s="752">
        <f ca="1">IFERROR(__xludf.DUMMYFUNCTION("IMPORTRANGE(""https://docs.google.com/spreadsheets/d/1-uDff_7J0KD5mKrp0Vvzr7lt3OU09vwQwhkpOPPYv2Y/edit?usp=sharing"",""งบพรบ!AK79"")"),0)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IFERROR(__xludf.DUMMYFUNCTION("IMPORTRANGE(""https://docs.google.com/spreadsheets/d/1-uDff_7J0KD5mKrp0Vvzr7lt3OU09vwQwhkpOPPYv2Y/edit?usp=sharing"",""งบพรบ!AM79"")"),0)</f>
        <v>0</v>
      </c>
      <c r="M77" s="425">
        <f ca="1">IFERROR(__xludf.DUMMYFUNCTION("IMPORTRANGE(""https://docs.google.com/spreadsheets/d/1-uDff_7J0KD5mKrp0Vvzr7lt3OU09vwQwhkpOPPYv2Y/edit?usp=sharing"",""งบพรบ!AR79"")"),0)</f>
        <v>0</v>
      </c>
      <c r="N77" s="425">
        <f ca="1">IFERROR(__xludf.DUMMYFUNCTION("IMPORTRANGE(""https://docs.google.com/spreadsheets/d/1-uDff_7J0KD5mKrp0Vvzr7lt3OU09vwQwhkpOPPYv2Y/edit?usp=sharing"",""งบพรบ!AT79"")"),0)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IFERROR(__xludf.DUMMYFUNCTION("IMPORTRANGE(""https://docs.google.com/spreadsheets/d/1-uDff_7J0KD5mKrp0Vvzr7lt3OU09vwQwhkpOPPYv2Y/edit?usp=sharing"",""งบพรบ!AP79"")"),0)</f>
        <v>0</v>
      </c>
      <c r="M80" s="425">
        <f ca="1">IFERROR(__xludf.DUMMYFUNCTION("IMPORTRANGE(""https://docs.google.com/spreadsheets/d/1-uDff_7J0KD5mKrp0Vvzr7lt3OU09vwQwhkpOPPYv2Y/edit?usp=sharing"",""งบพรบ!AS79"")"),0)</f>
        <v>0</v>
      </c>
      <c r="N80" s="425">
        <f ca="1">IFERROR(__xludf.DUMMYFUNCTION("IMPORTRANGE(""https://docs.google.com/spreadsheets/d/1-uDff_7J0KD5mKrp0Vvzr7lt3OU09vwQwhkpOPPYv2Y/edit?usp=sharing"",""งบพรบ!AU79"")"),0)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IFERROR(__xludf.DUMMYFUNCTION("IMPORTRANGE(""https://docs.google.com/spreadsheets/d/1eHaY18a8A9IcSdp1K8H6x8fbOy06t2VsZHhMHf-1x7Y/edit?usp=sharing"",""แผน!H79"")"),0)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IFERROR(__xludf.DUMMYFUNCTION("IMPORTRANGE(""https://docs.google.com/spreadsheets/d/1eHaY18a8A9IcSdp1K8H6x8fbOy06t2VsZHhMHf-1x7Y/edit?usp=sharing"",""แผน!I79"")"),0)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IFERROR(__xludf.DUMMYFUNCTION("IMPORTRANGE(""https://docs.google.com/spreadsheets/d/1eHaY18a8A9IcSdp1K8H6x8fbOy06t2VsZHhMHf-1x7Y/edit?usp=sharing"",""แผน!F79"")"),0)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IFERROR(__xludf.DUMMYFUNCTION("IMPORTRANGE(""https://docs.google.com/spreadsheets/d/1eHaY18a8A9IcSdp1K8H6x8fbOy06t2VsZHhMHf-1x7Y/edit?usp=sharing"",""แผน!G79"")"),0)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IFERROR(__xludf.DUMMYFUNCTION("IMPORTRANGE(""https://docs.google.com/spreadsheets/d/1eHaY18a8A9IcSdp1K8H6x8fbOy06t2VsZHhMHf-1x7Y/edit?usp=sharing"",""แผน!D79"")"),0)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IFERROR(__xludf.DUMMYFUNCTION("IMPORTRANGE(""https://docs.google.com/spreadsheets/d/1eHaY18a8A9IcSdp1K8H6x8fbOy06t2VsZHhMHf-1x7Y/edit?usp=sharing"",""แผน!E79"")"),0)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IFERROR(__xludf.DUMMYFUNCTION("IMPORTRANGE(""https://docs.google.com/spreadsheets/d/1eHaY18a8A9IcSdp1K8H6x8fbOy06t2VsZHhMHf-1x7Y/edit?usp=sharing"",""แผน!J79"")"),0)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IFERROR(__xludf.DUMMYFUNCTION("IMPORTRANGE(""https://docs.google.com/spreadsheets/d/1-uDff_7J0KD5mKrp0Vvzr7lt3OU09vwQwhkpOPPYv2Y/edit?usp=sharing"",""งบพรบ!AW79"")"),0)</f>
        <v>0</v>
      </c>
      <c r="M99" s="425">
        <f ca="1">IFERROR(__xludf.DUMMYFUNCTION("IMPORTRANGE(""https://docs.google.com/spreadsheets/d/1-uDff_7J0KD5mKrp0Vvzr7lt3OU09vwQwhkpOPPYv2Y/edit?usp=sharing"",""งบพรบ!BB79"")"),0)</f>
        <v>0</v>
      </c>
      <c r="N99" s="425">
        <f ca="1">IFERROR(__xludf.DUMMYFUNCTION("IMPORTRANGE(""https://docs.google.com/spreadsheets/d/1-uDff_7J0KD5mKrp0Vvzr7lt3OU09vwQwhkpOPPYv2Y/edit?usp=sharing"",""งบพรบ!BD79"")"),0)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IFERROR(__xludf.DUMMYFUNCTION("IMPORTRANGE(""https://docs.google.com/spreadsheets/d/1-uDff_7J0KD5mKrp0Vvzr7lt3OU09vwQwhkpOPPYv2Y/edit?usp=sharing"",""งบพรบ!AZ79"")"),0)</f>
        <v>0</v>
      </c>
      <c r="M102" s="425">
        <f ca="1">IFERROR(__xludf.DUMMYFUNCTION("IMPORTRANGE(""https://docs.google.com/spreadsheets/d/1-uDff_7J0KD5mKrp0Vvzr7lt3OU09vwQwhkpOPPYv2Y/edit?usp=sharing"",""งบพรบ!BC79"")"),0)</f>
        <v>0</v>
      </c>
      <c r="N102" s="425">
        <f ca="1">IFERROR(__xludf.DUMMYFUNCTION("IMPORTRANGE(""https://docs.google.com/spreadsheets/d/1-uDff_7J0KD5mKrp0Vvzr7lt3OU09vwQwhkpOPPYv2Y/edit?usp=sharing"",""งบพรบ!BE79"")"),0)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IFERROR(__xludf.DUMMYFUNCTION("IMPORTRANGE(""https://docs.google.com/spreadsheets/d/1eHaY18a8A9IcSdp1K8H6x8fbOy06t2VsZHhMHf-1x7Y/edit?usp=sharing"",""แผน!N79"")"),0)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IFERROR(__xludf.DUMMYFUNCTION("IMPORTRANGE(""https://docs.google.com/spreadsheets/d/1eHaY18a8A9IcSdp1K8H6x8fbOy06t2VsZHhMHf-1x7Y/edit?usp=sharing"",""แผน!O79"")"),0)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IFERROR(__xludf.DUMMYFUNCTION("IMPORTRANGE(""https://docs.google.com/spreadsheets/d/1eHaY18a8A9IcSdp1K8H6x8fbOy06t2VsZHhMHf-1x7Y/edit?usp=sharing"",""แผน!R79"")"),0)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IFERROR(__xludf.DUMMYFUNCTION("IMPORTRANGE(""https://docs.google.com/spreadsheets/d/1-uDff_7J0KD5mKrp0Vvzr7lt3OU09vwQwhkpOPPYv2Y/edit?usp=sharing"",""งบพรบ!BG79"")"),0)</f>
        <v>0</v>
      </c>
      <c r="M130" s="728">
        <f ca="1">IFERROR(__xludf.DUMMYFUNCTION("IMPORTRANGE(""https://docs.google.com/spreadsheets/d/1-uDff_7J0KD5mKrp0Vvzr7lt3OU09vwQwhkpOPPYv2Y/edit?usp=sharing"",""งบพรบ!BL79"")"),0)</f>
        <v>0</v>
      </c>
      <c r="N130" s="728">
        <f ca="1">IFERROR(__xludf.DUMMYFUNCTION("IMPORTRANGE(""https://docs.google.com/spreadsheets/d/1-uDff_7J0KD5mKrp0Vvzr7lt3OU09vwQwhkpOPPYv2Y/edit?usp=sharing"",""งบพรบ!BN79"")"),0)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IFERROR(__xludf.DUMMYFUNCTION("IMPORTRANGE(""https://docs.google.com/spreadsheets/d/1-uDff_7J0KD5mKrp0Vvzr7lt3OU09vwQwhkpOPPYv2Y/edit?usp=sharing"",""งบพรบ!BJ79"")"),0)</f>
        <v>0</v>
      </c>
      <c r="M133" s="728">
        <f ca="1">IFERROR(__xludf.DUMMYFUNCTION("IMPORTRANGE(""https://docs.google.com/spreadsheets/d/1-uDff_7J0KD5mKrp0Vvzr7lt3OU09vwQwhkpOPPYv2Y/edit?usp=sharing"",""งบพรบ!BM79"")"),0)</f>
        <v>0</v>
      </c>
      <c r="N133" s="728">
        <f ca="1">IFERROR(__xludf.DUMMYFUNCTION("IMPORTRANGE(""https://docs.google.com/spreadsheets/d/1-uDff_7J0KD5mKrp0Vvzr7lt3OU09vwQwhkpOPPYv2Y/edit?usp=sharing"",""งบพรบ!BO79"")"),0)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hidden="1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hidden="1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hidden="1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hidden="1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hidden="1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0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hidden="1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0</v>
      </c>
      <c r="M139" s="550">
        <f ca="1">M140+M141</f>
        <v>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hidden="1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hidden="1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IFERROR(__xludf.DUMMYFUNCTION("IMPORTRANGE(""https://docs.google.com/spreadsheets/d/1-uDff_7J0KD5mKrp0Vvzr7lt3OU09vwQwhkpOPPYv2Y/edit?usp=sharing"",""งบพรบ!BQ79"")"),0)</f>
        <v>0</v>
      </c>
      <c r="M144" s="425">
        <f ca="1">IFERROR(__xludf.DUMMYFUNCTION("IMPORTRANGE(""https://docs.google.com/spreadsheets/d/1-uDff_7J0KD5mKrp0Vvzr7lt3OU09vwQwhkpOPPYv2Y/edit?usp=sharing"",""งบพรบ!BV79"")"),0)</f>
        <v>0</v>
      </c>
      <c r="N144" s="425">
        <f ca="1">IFERROR(__xludf.DUMMYFUNCTION("IMPORTRANGE(""https://docs.google.com/spreadsheets/d/1-uDff_7J0KD5mKrp0Vvzr7lt3OU09vwQwhkpOPPYv2Y/edit?usp=sharing"",""งบพรบ!BX79"")"),0)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hidden="1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IFERROR(__xludf.DUMMYFUNCTION("IMPORTRANGE(""https://docs.google.com/spreadsheets/d/1-uDff_7J0KD5mKrp0Vvzr7lt3OU09vwQwhkpOPPYv2Y/edit?usp=sharing"",""งบพรบ!BT79"")"),0)</f>
        <v>0</v>
      </c>
      <c r="M147" s="425">
        <f ca="1">IFERROR(__xludf.DUMMYFUNCTION("IMPORTRANGE(""https://docs.google.com/spreadsheets/d/1-uDff_7J0KD5mKrp0Vvzr7lt3OU09vwQwhkpOPPYv2Y/edit?usp=sharing"",""งบพรบ!BW79"")"),0)</f>
        <v>0</v>
      </c>
      <c r="N147" s="425">
        <f ca="1">IFERROR(__xludf.DUMMYFUNCTION("IMPORTRANGE(""https://docs.google.com/spreadsheets/d/1-uDff_7J0KD5mKrp0Vvzr7lt3OU09vwQwhkpOPPYv2Y/edit?usp=sharing"",""งบพรบ!BY79"")"),0)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IFERROR(__xludf.DUMMYFUNCTION("IMPORTRANGE(""https://docs.google.com/spreadsheets/d/1eHaY18a8A9IcSdp1K8H6x8fbOy06t2VsZHhMHf-1x7Y/edit?usp=sharing"",""แผน!U79"")"),0)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IFERROR(__xludf.DUMMYFUNCTION("IMPORTRANGE(""https://docs.google.com/spreadsheets/d/1eHaY18a8A9IcSdp1K8H6x8fbOy06t2VsZHhMHf-1x7Y/edit?usp=sharing"",""แผน!V79"")"),0)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IFERROR(__xludf.DUMMYFUNCTION("IMPORTRANGE(""https://docs.google.com/spreadsheets/d/1eHaY18a8A9IcSdp1K8H6x8fbOy06t2VsZHhMHf-1x7Y/edit?usp=sharing"",""แผน!W79"")"),0)</f>
        <v>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IFERROR(__xludf.DUMMYFUNCTION("IMPORTRANGE(""https://docs.google.com/spreadsheets/d/1eHaY18a8A9IcSdp1K8H6x8fbOy06t2VsZHhMHf-1x7Y/edit?usp=sharing"",""แผน!X79"")"),0)</f>
        <v>0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IFERROR(__xludf.DUMMYFUNCTION("IMPORTRANGE(""https://docs.google.com/spreadsheets/d/1eHaY18a8A9IcSdp1K8H6x8fbOy06t2VsZHhMHf-1x7Y/edit?usp=sharing"",""แผน!Y79"")"),0)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IFERROR(__xludf.DUMMYFUNCTION("IMPORTRANGE(""https://docs.google.com/spreadsheets/d/1-uDff_7J0KD5mKrp0Vvzr7lt3OU09vwQwhkpOPPYv2Y/edit?usp=sharing"",""งบพรบ!CA79"")"),0)</f>
        <v>0</v>
      </c>
      <c r="M162" s="425">
        <f ca="1">IFERROR(__xludf.DUMMYFUNCTION("IMPORTRANGE(""https://docs.google.com/spreadsheets/d/1-uDff_7J0KD5mKrp0Vvzr7lt3OU09vwQwhkpOPPYv2Y/edit?usp=sharing"",""งบพรบ!CF79"")"),0)</f>
        <v>0</v>
      </c>
      <c r="N162" s="425">
        <f ca="1">IFERROR(__xludf.DUMMYFUNCTION("IMPORTRANGE(""https://docs.google.com/spreadsheets/d/1-uDff_7J0KD5mKrp0Vvzr7lt3OU09vwQwhkpOPPYv2Y/edit?usp=sharing"",""งบพรบ!CH79"")"),0)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IFERROR(__xludf.DUMMYFUNCTION("IMPORTRANGE(""https://docs.google.com/spreadsheets/d/1-uDff_7J0KD5mKrp0Vvzr7lt3OU09vwQwhkpOPPYv2Y/edit?usp=sharing"",""งบพรบ!CD79"")"),0)</f>
        <v>0</v>
      </c>
      <c r="M165" s="425">
        <f ca="1">IFERROR(__xludf.DUMMYFUNCTION("IMPORTRANGE(""https://docs.google.com/spreadsheets/d/1-uDff_7J0KD5mKrp0Vvzr7lt3OU09vwQwhkpOPPYv2Y/edit?usp=sharing"",""งบพรบ!CG79"")"),0)</f>
        <v>0</v>
      </c>
      <c r="N165" s="425">
        <f ca="1">IFERROR(__xludf.DUMMYFUNCTION("IMPORTRANGE(""https://docs.google.com/spreadsheets/d/1-uDff_7J0KD5mKrp0Vvzr7lt3OU09vwQwhkpOPPYv2Y/edit?usp=sharing"",""งบพรบ!CI79"")"),0)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IFERROR(__xludf.DUMMYFUNCTION("IMPORTRANGE(""https://docs.google.com/spreadsheets/d/1eHaY18a8A9IcSdp1K8H6x8fbOy06t2VsZHhMHf-1x7Y/edit?usp=sharing"",""แผน!Z79"")"),0)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IFERROR(__xludf.DUMMYFUNCTION("IMPORTRANGE(""https://docs.google.com/spreadsheets/d/1eHaY18a8A9IcSdp1K8H6x8fbOy06t2VsZHhMHf-1x7Y/edit?usp=sharing"",""แผน!Z79"")"),0)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IFERROR(__xludf.DUMMYFUNCTION("IMPORTRANGE(""https://docs.google.com/spreadsheets/d/1eHaY18a8A9IcSdp1K8H6x8fbOy06t2VsZHhMHf-1x7Y/edit?usp=sharing"",""แผน!Z79"")"),0)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7</v>
      </c>
      <c r="K172" s="689">
        <f ca="1">IF(I172&gt;0,J172*100/I172,0)</f>
        <v>100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19590</v>
      </c>
      <c r="O173" s="550">
        <f ca="1">IF(L173&gt;0,N173*100/L173,0)</f>
        <v>100</v>
      </c>
      <c r="P173" s="550">
        <f ca="1">IF(M173&gt;0,N173*100/M173,0)</f>
        <v>100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19590</v>
      </c>
      <c r="O175" s="425">
        <f ca="1">IF(L175&gt;0,N175*100/L175,0)</f>
        <v>100</v>
      </c>
      <c r="P175" s="425">
        <f ca="1">IF(M175&gt;0,N175*100/M175,0)</f>
        <v>100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19590</v>
      </c>
      <c r="O176" s="425">
        <f ca="1">IF(L176&gt;0,N176*100/L176,0)</f>
        <v>100</v>
      </c>
      <c r="P176" s="425">
        <f ca="1">IF(M176&gt;0,N176*100/M176,0)</f>
        <v>100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IFERROR(__xludf.DUMMYFUNCTION("IMPORTRANGE(""https://docs.google.com/spreadsheets/d/1-uDff_7J0KD5mKrp0Vvzr7lt3OU09vwQwhkpOPPYv2Y/edit?usp=sharing"",""งบพรบ!CK79"")"),19590)</f>
        <v>19590</v>
      </c>
      <c r="M178" s="425">
        <f ca="1">IFERROR(__xludf.DUMMYFUNCTION("IMPORTRANGE(""https://docs.google.com/spreadsheets/d/1-uDff_7J0KD5mKrp0Vvzr7lt3OU09vwQwhkpOPPYv2Y/edit?usp=sharing"",""งบพรบ!CP79"")"),19590)</f>
        <v>19590</v>
      </c>
      <c r="N178" s="425">
        <f ca="1">IFERROR(__xludf.DUMMYFUNCTION("IMPORTRANGE(""https://docs.google.com/spreadsheets/d/1-uDff_7J0KD5mKrp0Vvzr7lt3OU09vwQwhkpOPPYv2Y/edit?usp=sharing"",""งบพรบ!CR79"")"),19590)</f>
        <v>19590</v>
      </c>
      <c r="O178" s="425">
        <f ca="1">IF(L178&gt;0,N178*100/L178,0)</f>
        <v>100</v>
      </c>
      <c r="P178" s="425">
        <f ca="1">IF(M178&gt;0,N178*100/M178,0)</f>
        <v>100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IFERROR(__xludf.DUMMYFUNCTION("IMPORTRANGE(""https://docs.google.com/spreadsheets/d/1-uDff_7J0KD5mKrp0Vvzr7lt3OU09vwQwhkpOPPYv2Y/edit?usp=sharing"",""งบพรบ!CN79"")"),0)</f>
        <v>0</v>
      </c>
      <c r="M181" s="425">
        <f ca="1">IFERROR(__xludf.DUMMYFUNCTION("IMPORTRANGE(""https://docs.google.com/spreadsheets/d/1-uDff_7J0KD5mKrp0Vvzr7lt3OU09vwQwhkpOPPYv2Y/edit?usp=sharing"",""งบพรบ!CQ79"")"),0)</f>
        <v>0</v>
      </c>
      <c r="N181" s="425">
        <f ca="1">IFERROR(__xludf.DUMMYFUNCTION("IMPORTRANGE(""https://docs.google.com/spreadsheets/d/1-uDff_7J0KD5mKrp0Vvzr7lt3OU09vwQwhkpOPPYv2Y/edit?usp=sharing"",""งบพรบ!CS79"")"),0)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IFERROR(__xludf.DUMMYFUNCTION("IMPORTRANGE(""https://docs.google.com/spreadsheets/d/1eHaY18a8A9IcSdp1K8H6x8fbOy06t2VsZHhMHf-1x7Y/edit?usp=sharing"",""แผน!AA79"")"),7)</f>
        <v>7</v>
      </c>
      <c r="J183" s="568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89900</v>
      </c>
      <c r="M186" s="550">
        <f ca="1">M187+M188</f>
        <v>61500</v>
      </c>
      <c r="N186" s="550">
        <f ca="1">N187+N188</f>
        <v>13600</v>
      </c>
      <c r="O186" s="550">
        <f ca="1">IF(L186&gt;0,N186*100/L186,0)</f>
        <v>15.127919911012237</v>
      </c>
      <c r="P186" s="550">
        <f ca="1">IF(M186&gt;0,N186*100/M186,0)</f>
        <v>22.113821138211382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89900</v>
      </c>
      <c r="M188" s="425">
        <f ca="1">M191+M194</f>
        <v>61500</v>
      </c>
      <c r="N188" s="425">
        <f ca="1">N191+N194</f>
        <v>13600</v>
      </c>
      <c r="O188" s="425">
        <f ca="1">IF(L188&gt;0,N188*100/L188,0)</f>
        <v>15.127919911012237</v>
      </c>
      <c r="P188" s="425">
        <f ca="1">IF(M188&gt;0,N188*100/M188,0)</f>
        <v>22.113821138211382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89900</v>
      </c>
      <c r="M189" s="425">
        <f ca="1">M190+M191</f>
        <v>61500</v>
      </c>
      <c r="N189" s="425">
        <f ca="1">N190+N191</f>
        <v>13600</v>
      </c>
      <c r="O189" s="425">
        <f ca="1">IF(L189&gt;0,N189*100/L189,0)</f>
        <v>15.127919911012237</v>
      </c>
      <c r="P189" s="425">
        <f ca="1">IF(M189&gt;0,N189*100/M189,0)</f>
        <v>22.113821138211382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IFERROR(__xludf.DUMMYFUNCTION("IMPORTRANGE(""https://docs.google.com/spreadsheets/d/1-uDff_7J0KD5mKrp0Vvzr7lt3OU09vwQwhkpOPPYv2Y/edit?usp=sharing"",""งบพรบ!CU79"")"),89900)</f>
        <v>89900</v>
      </c>
      <c r="M191" s="425">
        <f ca="1">IFERROR(__xludf.DUMMYFUNCTION("IMPORTRANGE(""https://docs.google.com/spreadsheets/d/1-uDff_7J0KD5mKrp0Vvzr7lt3OU09vwQwhkpOPPYv2Y/edit?usp=sharing"",""งบพรบ!CZ79"")"),61500)</f>
        <v>61500</v>
      </c>
      <c r="N191" s="425">
        <f ca="1">IFERROR(__xludf.DUMMYFUNCTION("IMPORTRANGE(""https://docs.google.com/spreadsheets/d/1-uDff_7J0KD5mKrp0Vvzr7lt3OU09vwQwhkpOPPYv2Y/edit?usp=sharing"",""งบพรบ!DB79"")"),13600)</f>
        <v>13600</v>
      </c>
      <c r="O191" s="425">
        <f ca="1">IF(L191&gt;0,N191*100/L191,0)</f>
        <v>15.127919911012237</v>
      </c>
      <c r="P191" s="425">
        <f ca="1">IF(M191&gt;0,N191*100/M191,0)</f>
        <v>22.113821138211382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IFERROR(__xludf.DUMMYFUNCTION("IMPORTRANGE(""https://docs.google.com/spreadsheets/d/1-uDff_7J0KD5mKrp0Vvzr7lt3OU09vwQwhkpOPPYv2Y/edit?usp=sharing"",""งบพรบ!CX79"")"),0)</f>
        <v>0</v>
      </c>
      <c r="M194" s="425">
        <f ca="1">IFERROR(__xludf.DUMMYFUNCTION("IMPORTRANGE(""https://docs.google.com/spreadsheets/d/1-uDff_7J0KD5mKrp0Vvzr7lt3OU09vwQwhkpOPPYv2Y/edit?usp=sharing"",""งบพรบ!DA79"")"),0)</f>
        <v>0</v>
      </c>
      <c r="N194" s="425">
        <f ca="1">IFERROR(__xludf.DUMMYFUNCTION("IMPORTRANGE(""https://docs.google.com/spreadsheets/d/1-uDff_7J0KD5mKrp0Vvzr7lt3OU09vwQwhkpOPPYv2Y/edit?usp=sharing"",""งบพรบ!DC79"")"),0)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IFERROR(__xludf.DUMMYFUNCTION("IMPORTRANGE(""https://docs.google.com/spreadsheets/d/1eHaY18a8A9IcSdp1K8H6x8fbOy06t2VsZHhMHf-1x7Y/edit?usp=sharing"",""แผน!AB79"")"),6000)</f>
        <v>6000</v>
      </c>
      <c r="M196" s="428"/>
      <c r="N196" s="688">
        <v>1800</v>
      </c>
      <c r="O196" s="550">
        <f ca="1">IF(L196&gt;0,N196*100/L196,0)</f>
        <v>30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IFERROR(__xludf.DUMMYFUNCTION("IMPORTRANGE(""https://docs.google.com/spreadsheets/d/1eHaY18a8A9IcSdp1K8H6x8fbOy06t2VsZHhMHf-1x7Y/edit?usp=sharing"",""แผน!AE79"")"),4)</f>
        <v>4</v>
      </c>
      <c r="J198" s="568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84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84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hidden="1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0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hidden="1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hidden="1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IFERROR(__xludf.DUMMYFUNCTION("IMPORTRANGE(""https://docs.google.com/spreadsheets/d/1eHaY18a8A9IcSdp1K8H6x8fbOy06t2VsZHhMHf-1x7Y/edit?usp=sharing"",""แผน!AG79"")"),0)</f>
        <v>0</v>
      </c>
      <c r="M204" s="428"/>
      <c r="N204" s="683">
        <v>0</v>
      </c>
      <c r="O204" s="527"/>
      <c r="P204" s="428"/>
    </row>
    <row r="205" spans="1:16" ht="18.75" hidden="1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IFERROR(__xludf.DUMMYFUNCTION("IMPORTRANGE(""https://docs.google.com/spreadsheets/d/1eHaY18a8A9IcSdp1K8H6x8fbOy06t2VsZHhMHf-1x7Y/edit?usp=sharing"",""แผน!AH79"")"),0)</f>
        <v>0</v>
      </c>
      <c r="M205" s="428"/>
      <c r="N205" s="683">
        <v>0</v>
      </c>
      <c r="O205" s="527"/>
      <c r="P205" s="428"/>
    </row>
    <row r="206" spans="1:16" ht="18.75" hidden="1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IFERROR(__xludf.DUMMYFUNCTION("IMPORTRANGE(""https://docs.google.com/spreadsheets/d/1eHaY18a8A9IcSdp1K8H6x8fbOy06t2VsZHhMHf-1x7Y/edit?usp=sharing"",""แผน!AI79"")"),0)</f>
        <v>0</v>
      </c>
      <c r="M206" s="428"/>
      <c r="N206" s="683">
        <v>0</v>
      </c>
      <c r="O206" s="527"/>
      <c r="P206" s="428"/>
    </row>
    <row r="207" spans="1:16" ht="18.75" hidden="1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IFERROR(__xludf.DUMMYFUNCTION("IMPORTRANGE(""https://docs.google.com/spreadsheets/d/1eHaY18a8A9IcSdp1K8H6x8fbOy06t2VsZHhMHf-1x7Y/edit?usp=sharing"",""แผน!AJ79"")"),0)</f>
        <v>0</v>
      </c>
      <c r="M207" s="428"/>
      <c r="N207" s="683">
        <v>0</v>
      </c>
      <c r="O207" s="527"/>
      <c r="P207" s="428"/>
    </row>
    <row r="208" spans="1:16" ht="19.5" hidden="1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hidden="1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IFERROR(__xludf.DUMMYFUNCTION("IMPORTRANGE(""https://docs.google.com/spreadsheets/d/1eHaY18a8A9IcSdp1K8H6x8fbOy06t2VsZHhMHf-1x7Y/edit?usp=sharing"",""แผน!AK79"")"),0)</f>
        <v>0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hidden="1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hidden="1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IFERROR(__xludf.DUMMYFUNCTION("IMPORTRANGE(""https://docs.google.com/spreadsheets/d/1eHaY18a8A9IcSdp1K8H6x8fbOy06t2VsZHhMHf-1x7Y/edit?usp=sharing"",""แผน!AK79"")"),0)</f>
        <v>0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hidden="1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IFERROR(__xludf.DUMMYFUNCTION("IMPORTRANGE(""https://docs.google.com/spreadsheets/d/1eHaY18a8A9IcSdp1K8H6x8fbOy06t2VsZHhMHf-1x7Y/edit?usp=sharing"",""แผน!AK79"")"),0)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IFERROR(__xludf.DUMMYFUNCTION("IMPORTRANGE(""https://docs.google.com/spreadsheets/d/1eHaY18a8A9IcSdp1K8H6x8fbOy06t2VsZHhMHf-1x7Y/edit?usp=sharing"",""แผน!AM79"")"),0)</f>
        <v>0</v>
      </c>
      <c r="M215" s="428"/>
      <c r="N215" s="683">
        <v>0</v>
      </c>
      <c r="O215" s="527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IFERROR(__xludf.DUMMYFUNCTION("IMPORTRANGE(""https://docs.google.com/spreadsheets/d/1eHaY18a8A9IcSdp1K8H6x8fbOy06t2VsZHhMHf-1x7Y/edit?usp=sharing"",""แผน!AN79"")"),0)</f>
        <v>0</v>
      </c>
      <c r="M216" s="428"/>
      <c r="N216" s="683">
        <v>0</v>
      </c>
      <c r="O216" s="527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IFERROR(__xludf.DUMMYFUNCTION("IMPORTRANGE(""https://docs.google.com/spreadsheets/d/1eHaY18a8A9IcSdp1K8H6x8fbOy06t2VsZHhMHf-1x7Y/edit?usp=sharing"",""แผน!AO79"")"),0)</f>
        <v>0</v>
      </c>
      <c r="M217" s="428"/>
      <c r="N217" s="683">
        <v>0</v>
      </c>
      <c r="O217" s="527"/>
      <c r="P217" s="428"/>
    </row>
    <row r="218" spans="1:16" ht="19.5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IFERROR(__xludf.DUMMYFUNCTION("IMPORTRANGE(""https://docs.google.com/spreadsheets/d/1eHaY18a8A9IcSdp1K8H6x8fbOy06t2VsZHhMHf-1x7Y/edit?usp=sharing"",""แผน!JX79"")"),0)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IFERROR(__xludf.DUMMYFUNCTION("IMPORTRANGE(""https://docs.google.com/spreadsheets/d/1eHaY18a8A9IcSdp1K8H6x8fbOy06t2VsZHhMHf-1x7Y/edit?usp=sharing"",""แผน!JY79"")"),0)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IFERROR(__xludf.DUMMYFUNCTION("IMPORTRANGE(""https://docs.google.com/spreadsheets/d/1eHaY18a8A9IcSdp1K8H6x8fbOy06t2VsZHhMHf-1x7Y/edit?usp=sharing"",""แผน!AR79"")"),3000)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IFERROR(__xludf.DUMMYFUNCTION("IMPORTRANGE(""https://docs.google.com/spreadsheets/d/1eHaY18a8A9IcSdp1K8H6x8fbOy06t2VsZHhMHf-1x7Y/edit?usp=sharing"",""แผน!AS79"")"),1500)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IFERROR(__xludf.DUMMYFUNCTION("IMPORTRANGE(""https://docs.google.com/spreadsheets/d/1eHaY18a8A9IcSdp1K8H6x8fbOy06t2VsZHhMHf-1x7Y/edit?usp=sharing"",""แผน!AT79"")"),0)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IFERROR(__xludf.DUMMYFUNCTION("IMPORTRANGE(""https://docs.google.com/spreadsheets/d/1eHaY18a8A9IcSdp1K8H6x8fbOy06t2VsZHhMHf-1x7Y/edit?usp=sharing"",""แผน!AV79"")"),10000)</f>
        <v>10000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IFERROR(__xludf.DUMMYFUNCTION("IMPORTRANGE(""https://docs.google.com/spreadsheets/d/1eHaY18a8A9IcSdp1K8H6x8fbOy06t2VsZHhMHf-1x7Y/edit?usp=sharing"",""แผน!AV79"")"),10000)</f>
        <v>10000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IFERROR(__xludf.DUMMYFUNCTION("IMPORTRANGE(""https://docs.google.com/spreadsheets/d/1eHaY18a8A9IcSdp1K8H6x8fbOy06t2VsZHhMHf-1x7Y/edit?usp=sharing"",""แผน!AU79"")"),0)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IFERROR(__xludf.DUMMYFUNCTION("IMPORTRANGE(""https://docs.google.com/spreadsheets/d/1eHaY18a8A9IcSdp1K8H6x8fbOy06t2VsZHhMHf-1x7Y/edit?usp=sharing"",""แผน!AX79"")"),0)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IFERROR(__xludf.DUMMYFUNCTION("IMPORTRANGE(""https://docs.google.com/spreadsheets/d/1eHaY18a8A9IcSdp1K8H6x8fbOy06t2VsZHhMHf-1x7Y/edit?usp=sharing"",""แผน!AY79"")"),0)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IFERROR(__xludf.DUMMYFUNCTION("IMPORTRANGE(""https://docs.google.com/spreadsheets/d/1eHaY18a8A9IcSdp1K8H6x8fbOy06t2VsZHhMHf-1x7Y/edit?usp=sharing"",""แผน!AZ79"")"),0)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IFERROR(__xludf.DUMMYFUNCTION("IMPORTRANGE(""https://docs.google.com/spreadsheets/d/1eHaY18a8A9IcSdp1K8H6x8fbOy06t2VsZHhMHf-1x7Y/edit?usp=sharing"",""แผน!BA79"")"),0)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IFERROR(__xludf.DUMMYFUNCTION("IMPORTRANGE(""https://docs.google.com/spreadsheets/d/1eHaY18a8A9IcSdp1K8H6x8fbOy06t2VsZHhMHf-1x7Y/edit?usp=sharing"",""แผน!BG79"")"),0)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IFERROR(__xludf.DUMMYFUNCTION("IMPORTRANGE(""https://docs.google.com/spreadsheets/d/1eHaY18a8A9IcSdp1K8H6x8fbOy06t2VsZHhMHf-1x7Y/edit?usp=sharing"",""แผน!BB79"")"),0)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IFERROR(__xludf.DUMMYFUNCTION("IMPORTRANGE(""https://docs.google.com/spreadsheets/d/1eHaY18a8A9IcSdp1K8H6x8fbOy06t2VsZHhMHf-1x7Y/edit?usp=sharing"",""แผน!BC79"")"),0)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IFERROR(__xludf.DUMMYFUNCTION("IMPORTRANGE(""https://docs.google.com/spreadsheets/d/1eHaY18a8A9IcSdp1K8H6x8fbOy06t2VsZHhMHf-1x7Y/edit?usp=sharing"",""แผน!BD79"")"),0)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IFERROR(__xludf.DUMMYFUNCTION("IMPORTRANGE(""https://docs.google.com/spreadsheets/d/1eHaY18a8A9IcSdp1K8H6x8fbOy06t2VsZHhMHf-1x7Y/edit?usp=sharing"",""แผน!BE79"")"),0)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IFERROR(__xludf.DUMMYFUNCTION("IMPORTRANGE(""https://docs.google.com/spreadsheets/d/1eHaY18a8A9IcSdp1K8H6x8fbOy06t2VsZHhMHf-1x7Y/edit?usp=sharing"",""แผน!BH79"")"),0)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IFERROR(__xludf.DUMMYFUNCTION("IMPORTRANGE(""https://docs.google.com/spreadsheets/d/1-uDff_7J0KD5mKrp0Vvzr7lt3OU09vwQwhkpOPPYv2Y/edit?usp=sharing"",""งบพรบ!DE79"")"),0)</f>
        <v>0</v>
      </c>
      <c r="M271" s="544">
        <f ca="1">IFERROR(__xludf.DUMMYFUNCTION("IMPORTRANGE(""https://docs.google.com/spreadsheets/d/1-uDff_7J0KD5mKrp0Vvzr7lt3OU09vwQwhkpOPPYv2Y/edit?usp=sharing"",""งบพรบ!DJ79"")"),0)</f>
        <v>0</v>
      </c>
      <c r="N271" s="544">
        <f ca="1">IFERROR(__xludf.DUMMYFUNCTION("IMPORTRANGE(""https://docs.google.com/spreadsheets/d/1-uDff_7J0KD5mKrp0Vvzr7lt3OU09vwQwhkpOPPYv2Y/edit?usp=sharing"",""งบพรบ!DL79"")"),0)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IFERROR(__xludf.DUMMYFUNCTION("IMPORTRANGE(""https://docs.google.com/spreadsheets/d/1-uDff_7J0KD5mKrp0Vvzr7lt3OU09vwQwhkpOPPYv2Y/edit?usp=sharing"",""งบพรบ!DH79"")"),0)</f>
        <v>0</v>
      </c>
      <c r="M274" s="544">
        <f ca="1">IFERROR(__xludf.DUMMYFUNCTION("IMPORTRANGE(""https://docs.google.com/spreadsheets/d/1-uDff_7J0KD5mKrp0Vvzr7lt3OU09vwQwhkpOPPYv2Y/edit?usp=sharing"",""งบพรบ!DK79"")"),0)</f>
        <v>0</v>
      </c>
      <c r="N274" s="544">
        <f ca="1">IFERROR(__xludf.DUMMYFUNCTION("IMPORTRANGE(""https://docs.google.com/spreadsheets/d/1-uDff_7J0KD5mKrp0Vvzr7lt3OU09vwQwhkpOPPYv2Y/edit?usp=sharing"",""งบพรบ!DM79"")"),0)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IFERROR(__xludf.DUMMYFUNCTION("IMPORTRANGE(""https://docs.google.com/spreadsheets/d/1-uDff_7J0KD5mKrp0Vvzr7lt3OU09vwQwhkpOPPYv2Y/edit?usp=sharing"",""งบพรบ!DO79"")"),0)</f>
        <v>0</v>
      </c>
      <c r="M287" s="425">
        <f ca="1">IFERROR(__xludf.DUMMYFUNCTION("IMPORTRANGE(""https://docs.google.com/spreadsheets/d/1-uDff_7J0KD5mKrp0Vvzr7lt3OU09vwQwhkpOPPYv2Y/edit?usp=sharing"",""งบพรบ!DT79"")"),0)</f>
        <v>0</v>
      </c>
      <c r="N287" s="425">
        <f ca="1">IFERROR(__xludf.DUMMYFUNCTION("IMPORTRANGE(""https://docs.google.com/spreadsheets/d/1-uDff_7J0KD5mKrp0Vvzr7lt3OU09vwQwhkpOPPYv2Y/edit?usp=sharing"",""งบพรบ!DV79"")"),0)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IFERROR(__xludf.DUMMYFUNCTION("IMPORTRANGE(""https://docs.google.com/spreadsheets/d/1-uDff_7J0KD5mKrp0Vvzr7lt3OU09vwQwhkpOPPYv2Y/edit?usp=sharing"",""งบพรบ!DR79"")"),0)</f>
        <v>0</v>
      </c>
      <c r="M290" s="425">
        <f ca="1">IFERROR(__xludf.DUMMYFUNCTION("IMPORTRANGE(""https://docs.google.com/spreadsheets/d/1-uDff_7J0KD5mKrp0Vvzr7lt3OU09vwQwhkpOPPYv2Y/edit?usp=sharing"",""งบพรบ!DU79"")"),0)</f>
        <v>0</v>
      </c>
      <c r="N290" s="425">
        <f ca="1">IFERROR(__xludf.DUMMYFUNCTION("IMPORTRANGE(""https://docs.google.com/spreadsheets/d/1-uDff_7J0KD5mKrp0Vvzr7lt3OU09vwQwhkpOPPYv2Y/edit?usp=sharing"",""งบพรบ!DW79"")"),0)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IFERROR(__xludf.DUMMYFUNCTION("IMPORTRANGE(""https://docs.google.com/spreadsheets/d/1eHaY18a8A9IcSdp1K8H6x8fbOy06t2VsZHhMHf-1x7Y/edit?usp=sharing"",""แผน!EE79"")"),0)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IFERROR(__xludf.DUMMYFUNCTION("IMPORTRANGE(""https://docs.google.com/spreadsheets/d/1eHaY18a8A9IcSdp1K8H6x8fbOy06t2VsZHhMHf-1x7Y/edit?usp=sharing"",""แผน!ED79"")"),0)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IFERROR(__xludf.DUMMYFUNCTION("IMPORTRANGE(""https://docs.google.com/spreadsheets/d/1eHaY18a8A9IcSdp1K8H6x8fbOy06t2VsZHhMHf-1x7Y/edit?usp=sharing"",""แผน!ED79"")"),0)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IFERROR(__xludf.DUMMYFUNCTION("IMPORTRANGE(""https://docs.google.com/spreadsheets/d/1eHaY18a8A9IcSdp1K8H6x8fbOy06t2VsZHhMHf-1x7Y/edit?usp=sharing"",""แผน!ED79"")"),0)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IFERROR(__xludf.DUMMYFUNCTION("IMPORTRANGE(""https://docs.google.com/spreadsheets/d/1-uDff_7J0KD5mKrp0Vvzr7lt3OU09vwQwhkpOPPYv2Y/edit?usp=sharing"",""งบพรบ!DY79"")"),0)</f>
        <v>0</v>
      </c>
      <c r="M308" s="425">
        <f ca="1">IFERROR(__xludf.DUMMYFUNCTION("IMPORTRANGE(""https://docs.google.com/spreadsheets/d/1-uDff_7J0KD5mKrp0Vvzr7lt3OU09vwQwhkpOPPYv2Y/edit?usp=sharing"",""งบพรบ!ED79"")"),0)</f>
        <v>0</v>
      </c>
      <c r="N308" s="425">
        <f ca="1">IFERROR(__xludf.DUMMYFUNCTION("IMPORTRANGE(""https://docs.google.com/spreadsheets/d/1-uDff_7J0KD5mKrp0Vvzr7lt3OU09vwQwhkpOPPYv2Y/edit?usp=sharing"",""งบพรบ!EF79"")"),0)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IFERROR(__xludf.DUMMYFUNCTION("IMPORTRANGE(""https://docs.google.com/spreadsheets/d/1-uDff_7J0KD5mKrp0Vvzr7lt3OU09vwQwhkpOPPYv2Y/edit?usp=sharing"",""งบพรบ!EB79"")"),0)</f>
        <v>0</v>
      </c>
      <c r="M311" s="425">
        <f ca="1">IFERROR(__xludf.DUMMYFUNCTION("IMPORTRANGE(""https://docs.google.com/spreadsheets/d/1-uDff_7J0KD5mKrp0Vvzr7lt3OU09vwQwhkpOPPYv2Y/edit?usp=sharing"",""งบพรบ!EE79"")"),0)</f>
        <v>0</v>
      </c>
      <c r="N311" s="425">
        <f ca="1">IFERROR(__xludf.DUMMYFUNCTION("IMPORTRANGE(""https://docs.google.com/spreadsheets/d/1-uDff_7J0KD5mKrp0Vvzr7lt3OU09vwQwhkpOPPYv2Y/edit?usp=sharing"",""งบพรบ!EG79"")"),0)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IFERROR(__xludf.DUMMYFUNCTION("IMPORTRANGE(""https://docs.google.com/spreadsheets/d/1eHaY18a8A9IcSdp1K8H6x8fbOy06t2VsZHhMHf-1x7Y/edit?usp=sharing"",""แผน!EF79"")"),0)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IFERROR(__xludf.DUMMYFUNCTION("IMPORTRANGE(""https://docs.google.com/spreadsheets/d/1eHaY18a8A9IcSdp1K8H6x8fbOy06t2VsZHhMHf-1x7Y/edit?usp=sharing"",""แผน!EG79"")"),0)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IFERROR(__xludf.DUMMYFUNCTION("IMPORTRANGE(""https://docs.google.com/spreadsheets/d/1eHaY18a8A9IcSdp1K8H6x8fbOy06t2VsZHhMHf-1x7Y/edit?usp=sharing"",""แผน!EH79"")"),0)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IFERROR(__xludf.DUMMYFUNCTION("IMPORTRANGE(""https://docs.google.com/spreadsheets/d/1eHaY18a8A9IcSdp1K8H6x8fbOy06t2VsZHhMHf-1x7Y/edit?usp=sharing"",""แผน!EI79"")"),0)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IFERROR(__xludf.DUMMYFUNCTION("IMPORTRANGE(""https://docs.google.com/spreadsheets/d/1-uDff_7J0KD5mKrp0Vvzr7lt3OU09vwQwhkpOPPYv2Y/edit?usp=sharing"",""งบพรบ!EI79"")"),0)</f>
        <v>0</v>
      </c>
      <c r="M325" s="425">
        <f ca="1">IFERROR(__xludf.DUMMYFUNCTION("IMPORTRANGE(""https://docs.google.com/spreadsheets/d/1-uDff_7J0KD5mKrp0Vvzr7lt3OU09vwQwhkpOPPYv2Y/edit?usp=sharing"",""งบพรบ!EN79"")"),0)</f>
        <v>0</v>
      </c>
      <c r="N325" s="425">
        <f ca="1">IFERROR(__xludf.DUMMYFUNCTION("IMPORTRANGE(""https://docs.google.com/spreadsheets/d/1-uDff_7J0KD5mKrp0Vvzr7lt3OU09vwQwhkpOPPYv2Y/edit?usp=sharing"",""งบพรบ!EP79"")"),0)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IFERROR(__xludf.DUMMYFUNCTION("IMPORTRANGE(""https://docs.google.com/spreadsheets/d/1-uDff_7J0KD5mKrp0Vvzr7lt3OU09vwQwhkpOPPYv2Y/edit?usp=sharing"",""งบพรบ!EL79"")"),0)</f>
        <v>0</v>
      </c>
      <c r="M328" s="425">
        <f ca="1">IFERROR(__xludf.DUMMYFUNCTION("IMPORTRANGE(""https://docs.google.com/spreadsheets/d/1-uDff_7J0KD5mKrp0Vvzr7lt3OU09vwQwhkpOPPYv2Y/edit?usp=sharing"",""งบพรบ!EO79"")"),0)</f>
        <v>0</v>
      </c>
      <c r="N328" s="425">
        <f ca="1">IFERROR(__xludf.DUMMYFUNCTION("IMPORTRANGE(""https://docs.google.com/spreadsheets/d/1-uDff_7J0KD5mKrp0Vvzr7lt3OU09vwQwhkpOPPYv2Y/edit?usp=sharing"",""งบพรบ!EQ79"")"),0)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IFERROR(__xludf.DUMMYFUNCTION("IMPORTRANGE(""https://docs.google.com/spreadsheets/d/1eHaY18a8A9IcSdp1K8H6x8fbOy06t2VsZHhMHf-1x7Y/edit?usp=sharing"",""แผน!EJ79"")"),0)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200</v>
      </c>
      <c r="J332" s="402">
        <f ca="1">J344+J347+J348+J349+J353</f>
        <v>280</v>
      </c>
      <c r="K332" s="403">
        <f ca="1">IF(I332&gt;0,J332*100/I332,0)</f>
        <v>140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165500</v>
      </c>
      <c r="M333" s="550">
        <f ca="1">M334+M335</f>
        <v>126850</v>
      </c>
      <c r="N333" s="550">
        <f ca="1">N334+N335</f>
        <v>39278</v>
      </c>
      <c r="O333" s="550">
        <f ca="1">IF(L333&gt;0,N333*100/L333,0)</f>
        <v>23.732930513595168</v>
      </c>
      <c r="P333" s="550">
        <f ca="1">IF(M333&gt;0,N333*100/M333,0)</f>
        <v>30.96413086322428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165500</v>
      </c>
      <c r="M335" s="425">
        <f ca="1">M338+M341</f>
        <v>126850</v>
      </c>
      <c r="N335" s="425">
        <f ca="1">N338+N341</f>
        <v>39278</v>
      </c>
      <c r="O335" s="425">
        <f ca="1">IF(L335&gt;0,N335*100/L335,0)</f>
        <v>23.732930513595168</v>
      </c>
      <c r="P335" s="425">
        <f ca="1">IF(M335&gt;0,N335*100/M335,0)</f>
        <v>30.96413086322428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165500</v>
      </c>
      <c r="M336" s="425">
        <f ca="1">M337+M338</f>
        <v>126850</v>
      </c>
      <c r="N336" s="425">
        <f ca="1">N337+N338</f>
        <v>39278</v>
      </c>
      <c r="O336" s="425">
        <f ca="1">IF(L336&gt;0,N336*100/L336,0)</f>
        <v>23.732930513595168</v>
      </c>
      <c r="P336" s="425">
        <f ca="1">IF(M336&gt;0,N336*100/M336,0)</f>
        <v>30.96413086322428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IFERROR(__xludf.DUMMYFUNCTION("IMPORTRANGE(""https://docs.google.com/spreadsheets/d/1-uDff_7J0KD5mKrp0Vvzr7lt3OU09vwQwhkpOPPYv2Y/edit?usp=sharing"",""งบพรบ!ES79"")"),165500)</f>
        <v>165500</v>
      </c>
      <c r="M338" s="425">
        <f ca="1">IFERROR(__xludf.DUMMYFUNCTION("IMPORTRANGE(""https://docs.google.com/spreadsheets/d/1-uDff_7J0KD5mKrp0Vvzr7lt3OU09vwQwhkpOPPYv2Y/edit?usp=sharing"",""งบพรบ!EX79"")"),126850)</f>
        <v>126850</v>
      </c>
      <c r="N338" s="425">
        <f ca="1">IFERROR(__xludf.DUMMYFUNCTION("IMPORTRANGE(""https://docs.google.com/spreadsheets/d/1-uDff_7J0KD5mKrp0Vvzr7lt3OU09vwQwhkpOPPYv2Y/edit?usp=sharing"",""งบพรบ!EZ79"")"),39278)</f>
        <v>39278</v>
      </c>
      <c r="O338" s="425">
        <f ca="1">IF(L338&gt;0,N338*100/L338,0)</f>
        <v>23.732930513595168</v>
      </c>
      <c r="P338" s="425">
        <f ca="1">IF(M338&gt;0,N338*100/M338,0)</f>
        <v>30.96413086322428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IFERROR(__xludf.DUMMYFUNCTION("IMPORTRANGE(""https://docs.google.com/spreadsheets/d/1-uDff_7J0KD5mKrp0Vvzr7lt3OU09vwQwhkpOPPYv2Y/edit?usp=sharing"",""งบพรบ!EV79"")"),0)</f>
        <v>0</v>
      </c>
      <c r="M341" s="425">
        <f ca="1">IFERROR(__xludf.DUMMYFUNCTION("IMPORTRANGE(""https://docs.google.com/spreadsheets/d/1-uDff_7J0KD5mKrp0Vvzr7lt3OU09vwQwhkpOPPYv2Y/edit?usp=sharing"",""งบพรบ!EY79"")"),0)</f>
        <v>0</v>
      </c>
      <c r="N341" s="425">
        <f ca="1">IFERROR(__xludf.DUMMYFUNCTION("IMPORTRANGE(""https://docs.google.com/spreadsheets/d/1-uDff_7J0KD5mKrp0Vvzr7lt3OU09vwQwhkpOPPYv2Y/edit?usp=sharing"",""งบพรบ!FA79"")"),0)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172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IFERROR(__xludf.DUMMYFUNCTION("IMPORTRANGE(""https://docs.google.com/spreadsheets/d/1eHaY18a8A9IcSdp1K8H6x8fbOy06t2VsZHhMHf-1x7Y/edit?usp=sharing"",""แผน!EK79"")"),200)</f>
        <v>200</v>
      </c>
      <c r="J344" s="424">
        <f ca="1">IFERROR(__xludf.DUMMYFUNCTION("IMPORTRANGE(""https://docs.google.com/spreadsheets/d/1awYsYK3VOup2i3Pq_Yjnu8DRu_mYwSBnCR2QPthd0rU/edit?usp=sharing"",""ศูนย์ยกเว้นโฉนด!D79"")"),95)</f>
        <v>95</v>
      </c>
      <c r="K344" s="425">
        <f ca="1">IF(I344&gt;0,J344*100/I344,0)</f>
        <v>47.5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IFERROR(__xludf.DUMMYFUNCTION("IMPORTRANGE(""https://docs.google.com/spreadsheets/d/1eHaY18a8A9IcSdp1K8H6x8fbOy06t2VsZHhMHf-1x7Y/edit?usp=sharing"",""แผน!EL79"")"),1)</f>
        <v>1</v>
      </c>
      <c r="J346" s="424">
        <f ca="1">IFERROR(__xludf.DUMMYFUNCTION("IMPORTRANGE(""https://docs.google.com/spreadsheets/d/1awYsYK3VOup2i3Pq_Yjnu8DRu_mYwSBnCR2QPthd0rU/edit?usp=sharing"",""ศูนย์รวม!E79"")"),0)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IFERROR(__xludf.DUMMYFUNCTION("IMPORTRANGE(""https://docs.google.com/spreadsheets/d/1awYsYK3VOup2i3Pq_Yjnu8DRu_mYwSBnCR2QPthd0rU/edit?usp=sharing"",""ศูนย์ยกเว้นโฉนด!F79"")"),73)</f>
        <v>73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IFERROR(__xludf.DUMMYFUNCTION("IMPORTRANGE(""https://docs.google.com/spreadsheets/d/1awYsYK3VOup2i3Pq_Yjnu8DRu_mYwSBnCR2QPthd0rU/edit?usp=sharing"",""ศูนย์ยกเว้นโฉนด!G79"")"),4)</f>
        <v>4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IFERROR(__xludf.DUMMYFUNCTION("IMPORTRANGE(""https://docs.google.com/spreadsheets/d/1awYsYK3VOup2i3Pq_Yjnu8DRu_mYwSBnCR2QPthd0rU/edit?usp=sharing"",""ศูนย์ยกเว้นโฉนด!H79"")"),0)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108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IFERROR(__xludf.DUMMYFUNCTION("IMPORTRANGE(""https://docs.google.com/spreadsheets/d/1awYsYK3VOup2i3Pq_Yjnu8DRu_mYwSBnCR2QPthd0rU/edit?usp=sharing"",""โฉนดM3!G79"")"),0)</f>
        <v>0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IFERROR(__xludf.DUMMYFUNCTION("IMPORTRANGE(""https://docs.google.com/spreadsheets/d/1awYsYK3VOup2i3Pq_Yjnu8DRu_mYwSBnCR2QPthd0rU/edit?usp=sharing"",""โฉนดM3!H79"")"),108)</f>
        <v>108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278755</v>
      </c>
      <c r="M356" s="550">
        <f ca="1">M357+M358</f>
        <v>212155</v>
      </c>
      <c r="N356" s="550">
        <f ca="1">N357+N358</f>
        <v>40480</v>
      </c>
      <c r="O356" s="550">
        <f ca="1">IF(L356&gt;0,N356*100/L356,0)</f>
        <v>14.521712615020359</v>
      </c>
      <c r="P356" s="550">
        <f ca="1">IF(M356&gt;0,N356*100/M356,0)</f>
        <v>19.08038933798402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278755</v>
      </c>
      <c r="M358" s="425">
        <f ca="1">M361+M364</f>
        <v>212155</v>
      </c>
      <c r="N358" s="425">
        <f ca="1">N361+N364</f>
        <v>40480</v>
      </c>
      <c r="O358" s="425">
        <f ca="1">IF(L358&gt;0,N358*100/L358,0)</f>
        <v>14.521712615020359</v>
      </c>
      <c r="P358" s="425">
        <f ca="1">IF(M358&gt;0,N358*100/M358,0)</f>
        <v>19.08038933798402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278755</v>
      </c>
      <c r="M359" s="425">
        <f ca="1">M360+M361</f>
        <v>212155</v>
      </c>
      <c r="N359" s="425">
        <f ca="1">N360+N361</f>
        <v>40480</v>
      </c>
      <c r="O359" s="425">
        <f ca="1">IF(L359&gt;0,N359*100/L359,0)</f>
        <v>14.521712615020359</v>
      </c>
      <c r="P359" s="425">
        <f ca="1">IF(M359&gt;0,N359*100/M359,0)</f>
        <v>19.08038933798402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IFERROR(__xludf.DUMMYFUNCTION("IMPORTRANGE(""https://docs.google.com/spreadsheets/d/1-uDff_7J0KD5mKrp0Vvzr7lt3OU09vwQwhkpOPPYv2Y/edit?usp=sharing"",""งบพรบ!FC79"")"),278755)</f>
        <v>278755</v>
      </c>
      <c r="M361" s="425">
        <f ca="1">IFERROR(__xludf.DUMMYFUNCTION("IMPORTRANGE(""https://docs.google.com/spreadsheets/d/1-uDff_7J0KD5mKrp0Vvzr7lt3OU09vwQwhkpOPPYv2Y/edit?usp=sharing"",""งบพรบ!FH79"")"),212155)</f>
        <v>212155</v>
      </c>
      <c r="N361" s="425">
        <f ca="1">IFERROR(__xludf.DUMMYFUNCTION("IMPORTRANGE(""https://docs.google.com/spreadsheets/d/1-uDff_7J0KD5mKrp0Vvzr7lt3OU09vwQwhkpOPPYv2Y/edit?usp=sharing"",""งบพรบ!FJ79"")"),40480)</f>
        <v>40480</v>
      </c>
      <c r="O361" s="425">
        <f ca="1">IF(L361&gt;0,N361*100/L361,0)</f>
        <v>14.521712615020359</v>
      </c>
      <c r="P361" s="425">
        <f ca="1">IF(M361&gt;0,N361*100/M361,0)</f>
        <v>19.08038933798402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IFERROR(__xludf.DUMMYFUNCTION("IMPORTRANGE(""https://docs.google.com/spreadsheets/d/1-uDff_7J0KD5mKrp0Vvzr7lt3OU09vwQwhkpOPPYv2Y/edit?usp=sharing"",""งบพรบ!FF79"")"),0)</f>
        <v>0</v>
      </c>
      <c r="M364" s="425">
        <f ca="1">IFERROR(__xludf.DUMMYFUNCTION("IMPORTRANGE(""https://docs.google.com/spreadsheets/d/1-uDff_7J0KD5mKrp0Vvzr7lt3OU09vwQwhkpOPPYv2Y/edit?usp=sharing"",""งบพรบ!FI79"")"),0)</f>
        <v>0</v>
      </c>
      <c r="N364" s="425">
        <f ca="1">IFERROR(__xludf.DUMMYFUNCTION("IMPORTRANGE(""https://docs.google.com/spreadsheets/d/1-uDff_7J0KD5mKrp0Vvzr7lt3OU09vwQwhkpOPPYv2Y/edit?usp=sharing"",""งบพรบ!FK79"")"),0)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19</v>
      </c>
      <c r="J365" s="438">
        <f ca="1">J371</f>
        <v>0</v>
      </c>
      <c r="K365" s="439">
        <f ca="1">IF(I365&gt;0,J365*100/I365,0)</f>
        <v>0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IFERROR(__xludf.DUMMYFUNCTION("IMPORTRANGE(""https://docs.google.com/spreadsheets/d/1tdoBKaGub7dwA3U6UFTqxio9LNnvDCQjHKmttSEBsFQ/edit?usp=sharing"",""จัดที่ดิน!AB79"")"),0)</f>
        <v>0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IFERROR(__xludf.DUMMYFUNCTION("IMPORTRANGE(""https://docs.google.com/spreadsheets/d/1eHaY18a8A9IcSdp1K8H6x8fbOy06t2VsZHhMHf-1x7Y/edit?usp=sharing"",""แผน!EW79"")"),120)</f>
        <v>120</v>
      </c>
      <c r="J368" s="528">
        <f ca="1">IFERROR(__xludf.DUMMYFUNCTION("IMPORTRANGE(""https://docs.google.com/spreadsheets/d/1tdoBKaGub7dwA3U6UFTqxio9LNnvDCQjHKmttSEBsFQ/edit?usp=sharing"",""จัดที่ดิน!AC79"")"),0)</f>
        <v>0</v>
      </c>
      <c r="K368" s="425">
        <f ca="1">IF(I368&gt;0,J368*100/I368,0)</f>
        <v>0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IFERROR(__xludf.DUMMYFUNCTION("IMPORTRANGE(""https://docs.google.com/spreadsheets/d/1eHaY18a8A9IcSdp1K8H6x8fbOy06t2VsZHhMHf-1x7Y/edit?usp=sharing"",""แผน!EX79"")"),31)</f>
        <v>31</v>
      </c>
      <c r="J369" s="424">
        <f ca="1">IFERROR(__xludf.DUMMYFUNCTION("IMPORTRANGE(""https://docs.google.com/spreadsheets/d/1tdoBKaGub7dwA3U6UFTqxio9LNnvDCQjHKmttSEBsFQ/edit?usp=sharing"",""จัดที่ดิน!AD79"")"),0)</f>
        <v>0</v>
      </c>
      <c r="K369" s="425">
        <f ca="1">IF(I369&gt;0,J369*100/I369,0)</f>
        <v>0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IFERROR(__xludf.DUMMYFUNCTION("IMPORTRANGE(""https://docs.google.com/spreadsheets/d/1tdoBKaGub7dwA3U6UFTqxio9LNnvDCQjHKmttSEBsFQ/edit?usp=sharing"",""จัดที่ดิน!AE79"")"),0)</f>
        <v>0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IFERROR(__xludf.DUMMYFUNCTION("IMPORTRANGE(""https://docs.google.com/spreadsheets/d/1eHaY18a8A9IcSdp1K8H6x8fbOy06t2VsZHhMHf-1x7Y/edit?usp=sharing"",""แผน!EY79"")"),19)</f>
        <v>19</v>
      </c>
      <c r="J371" s="424">
        <f ca="1">IFERROR(__xludf.DUMMYFUNCTION("IMPORTRANGE(""https://docs.google.com/spreadsheets/d/1tdoBKaGub7dwA3U6UFTqxio9LNnvDCQjHKmttSEBsFQ/edit?usp=sharing"",""จัดที่ดิน!AF79"")"),0)</f>
        <v>0</v>
      </c>
      <c r="K371" s="425">
        <f ca="1">IF(I371&gt;0,J371*100/I371,0)</f>
        <v>0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IFERROR(__xludf.DUMMYFUNCTION("IMPORTRANGE(""https://docs.google.com/spreadsheets/d/1tdoBKaGub7dwA3U6UFTqxio9LNnvDCQjHKmttSEBsFQ/edit?usp=sharing"",""จัดที่ดิน!AG79"")"),0)</f>
        <v>0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IFERROR(__xludf.DUMMYFUNCTION("IMPORTRANGE(""https://docs.google.com/spreadsheets/d/1-uDff_7J0KD5mKrp0Vvzr7lt3OU09vwQwhkpOPPYv2Y/edit?usp=sharing"",""งบพรบ!FM79"")"),0)</f>
        <v>0</v>
      </c>
      <c r="M382" s="544">
        <f ca="1">IFERROR(__xludf.DUMMYFUNCTION("IMPORTRANGE(""https://docs.google.com/spreadsheets/d/1-uDff_7J0KD5mKrp0Vvzr7lt3OU09vwQwhkpOPPYv2Y/edit?usp=sharing"",""งบพรบ!FR79"")"),0)</f>
        <v>0</v>
      </c>
      <c r="N382" s="544">
        <f ca="1">IFERROR(__xludf.DUMMYFUNCTION("IMPORTRANGE(""https://docs.google.com/spreadsheets/d/1-uDff_7J0KD5mKrp0Vvzr7lt3OU09vwQwhkpOPPYv2Y/edit?usp=sharing"",""งบพรบ!FT79"")"),0)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IFERROR(__xludf.DUMMYFUNCTION("IMPORTRANGE(""https://docs.google.com/spreadsheets/d/1-uDff_7J0KD5mKrp0Vvzr7lt3OU09vwQwhkpOPPYv2Y/edit?usp=sharing"",""งบพรบ!FP79"")"),0)</f>
        <v>0</v>
      </c>
      <c r="M385" s="544">
        <f ca="1">IFERROR(__xludf.DUMMYFUNCTION("IMPORTRANGE(""https://docs.google.com/spreadsheets/d/1-uDff_7J0KD5mKrp0Vvzr7lt3OU09vwQwhkpOPPYv2Y/edit?usp=sharing"",""งบพรบ!FS79"")"),0)</f>
        <v>0</v>
      </c>
      <c r="N385" s="544">
        <f ca="1">IFERROR(__xludf.DUMMYFUNCTION("IMPORTRANGE(""https://docs.google.com/spreadsheets/d/1-uDff_7J0KD5mKrp0Vvzr7lt3OU09vwQwhkpOPPYv2Y/edit?usp=sharing"",""งบพรบ!FU79"")"),0)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29C5-ECE5-4A6A-B8A7-9459294200D4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166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1411717</v>
      </c>
      <c r="M18" s="709">
        <f ca="1">M19+M20</f>
        <v>1154658</v>
      </c>
      <c r="N18" s="709">
        <f ca="1">N19+N20</f>
        <v>463670.88</v>
      </c>
      <c r="O18" s="709">
        <f ca="1">IF(L18&gt;0,N18*100/L18,0)</f>
        <v>32.844463869174909</v>
      </c>
      <c r="P18" s="709">
        <f ca="1">IF(M18&gt;0,N18*100/M18,0)</f>
        <v>40.156555447587081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1411717</v>
      </c>
      <c r="M20" s="822">
        <f ca="1">M23+M26</f>
        <v>1154658</v>
      </c>
      <c r="N20" s="822">
        <f ca="1">N23+N26</f>
        <v>463670.88</v>
      </c>
      <c r="O20" s="822">
        <f ca="1">IF(L20&gt;0,N20*100/L20,0)</f>
        <v>32.844463869174909</v>
      </c>
      <c r="P20" s="822">
        <f ca="1">IF(M20&gt;0,N20*100/M20,0)</f>
        <v>40.156555447587081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1411717</v>
      </c>
      <c r="M21" s="425">
        <f ca="1">M22+M23</f>
        <v>1154658</v>
      </c>
      <c r="N21" s="425">
        <f ca="1">N22+N23</f>
        <v>463670.88</v>
      </c>
      <c r="O21" s="425">
        <f ca="1">IF(L21&gt;0,N21*100/L21,0)</f>
        <v>32.844463869174909</v>
      </c>
      <c r="P21" s="425">
        <f ca="1">IF(M21&gt;0,N21*100/M21,0)</f>
        <v>40.156555447587081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1411717</v>
      </c>
      <c r="M23" s="425">
        <f ca="1">M49+M64+M77+M99+M130+M144+M162+M191+M178+M271+M287+M308+M325+M338+M361+M382</f>
        <v>1154658</v>
      </c>
      <c r="N23" s="425">
        <f ca="1">N49+N64+N77+N99+N130+N144+N162+N191+N178+N271+N287+N308+N325+N338+N361+N382</f>
        <v>463670.88</v>
      </c>
      <c r="O23" s="425">
        <f ca="1">IF(L23&gt;0,N23*100/L23,0)</f>
        <v>32.844463869174909</v>
      </c>
      <c r="P23" s="425">
        <f ca="1">IF(M23&gt;0,N23*100/M23,0)</f>
        <v>40.156555447587081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1411717</v>
      </c>
      <c r="M40" s="814">
        <f ca="1">M44+M59+M72+M94+M125+M139+M157+M173+M186+M266+M282+M303+M320+M333+M356</f>
        <v>1154658</v>
      </c>
      <c r="N40" s="814">
        <f ca="1">N44+N59+N72+N94+N125+N139+N157+N173+N186+N266+N282+N303+N320+N333+N356</f>
        <v>463670.88</v>
      </c>
      <c r="O40" s="814">
        <f ca="1">IF(L40&gt;0,N40*100/L40,0)</f>
        <v>32.844463869174909</v>
      </c>
      <c r="P40" s="814">
        <f ca="1">IF(M40&gt;0,N40*100/M40,0)</f>
        <v>40.156555447587081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262457</v>
      </c>
      <c r="M44" s="799">
        <f ca="1">M45+M46</f>
        <v>291698</v>
      </c>
      <c r="N44" s="799">
        <f ca="1">N45+N46</f>
        <v>83564</v>
      </c>
      <c r="O44" s="799">
        <f ca="1">IF(L44&gt;0,N44*100/L44,0)</f>
        <v>31.839120313041754</v>
      </c>
      <c r="P44" s="799">
        <f ca="1">IF(M44&gt;0,N44*100/M44,0)</f>
        <v>28.647436732511022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262457</v>
      </c>
      <c r="M46" s="788">
        <f ca="1">M49+M52</f>
        <v>291698</v>
      </c>
      <c r="N46" s="788">
        <f ca="1">N49+N52</f>
        <v>83564</v>
      </c>
      <c r="O46" s="788">
        <f ca="1">IF(L46&gt;0,N46*100/L46,0)</f>
        <v>31.839120313041754</v>
      </c>
      <c r="P46" s="788">
        <f ca="1">IF(M46&gt;0,N46*100/M46,0)</f>
        <v>28.647436732511022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262457</v>
      </c>
      <c r="M47" s="425">
        <f ca="1">M48+M49</f>
        <v>291698</v>
      </c>
      <c r="N47" s="425">
        <f ca="1">N48+N49</f>
        <v>83564</v>
      </c>
      <c r="O47" s="425">
        <f ca="1">IF(L47&gt;0,N47*100/L47,0)</f>
        <v>31.839120313041754</v>
      </c>
      <c r="P47" s="425">
        <f ca="1">IF(M47&gt;0,N47*100/M47,0)</f>
        <v>28.647436732511022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IFERROR(__xludf.DUMMYFUNCTION("IMPORTRANGE(""https://docs.google.com/spreadsheets/d/1-uDff_7J0KD5mKrp0Vvzr7lt3OU09vwQwhkpOPPYv2Y/edit?usp=sharing"",""งบพรบ!P80"")"),262457)</f>
        <v>262457</v>
      </c>
      <c r="M49" s="425">
        <f ca="1">IFERROR(__xludf.DUMMYFUNCTION("IMPORTRANGE(""https://docs.google.com/spreadsheets/d/1-uDff_7J0KD5mKrp0Vvzr7lt3OU09vwQwhkpOPPYv2Y/edit?usp=sharing"",""งบพรบ!V80"")"),291698)</f>
        <v>291698</v>
      </c>
      <c r="N49" s="425">
        <f ca="1">IFERROR(__xludf.DUMMYFUNCTION("IMPORTRANGE(""https://docs.google.com/spreadsheets/d/1-uDff_7J0KD5mKrp0Vvzr7lt3OU09vwQwhkpOPPYv2Y/edit?usp=sharing"",""งบพรบ!Y80"")"),83564)</f>
        <v>83564</v>
      </c>
      <c r="O49" s="425">
        <f ca="1">IF(L49&gt;0,N49*100/L49,0)</f>
        <v>31.839120313041754</v>
      </c>
      <c r="P49" s="425">
        <f ca="1">IF(M49&gt;0,N49*100/M49,0)</f>
        <v>28.647436732511022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IFERROR(__xludf.DUMMYFUNCTION("IMPORTRANGE(""https://docs.google.com/spreadsheets/d/1-uDff_7J0KD5mKrp0Vvzr7lt3OU09vwQwhkpOPPYv2Y/edit?usp=sharing"",""งบพรบ!S80"")"),0)</f>
        <v>0</v>
      </c>
      <c r="M52" s="425">
        <f ca="1">IFERROR(__xludf.DUMMYFUNCTION("IMPORTRANGE(""https://docs.google.com/spreadsheets/d/1-uDff_7J0KD5mKrp0Vvzr7lt3OU09vwQwhkpOPPYv2Y/edit?usp=sharing"",""งบพรบ!W80"")"),0)</f>
        <v>0</v>
      </c>
      <c r="N52" s="425">
        <f ca="1">IFERROR(__xludf.DUMMYFUNCTION("IMPORTRANGE(""https://docs.google.com/spreadsheets/d/1-uDff_7J0KD5mKrp0Vvzr7lt3OU09vwQwhkpOPPYv2Y/edit?usp=sharing"",""งบพรบ!Z80"")"),0)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390000</v>
      </c>
      <c r="M59" s="768">
        <f ca="1">M60+M61</f>
        <v>294550</v>
      </c>
      <c r="N59" s="768">
        <f ca="1">N60+N61</f>
        <v>178921.24</v>
      </c>
      <c r="O59" s="768">
        <f ca="1">IF(L59&gt;0,N59*100/L59,0)</f>
        <v>45.877241025641027</v>
      </c>
      <c r="P59" s="768">
        <f ca="1">IF(M59&gt;0,N59*100/M59,0)</f>
        <v>60.74392802580207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390000</v>
      </c>
      <c r="M61" s="757">
        <f ca="1">M64+M67</f>
        <v>294550</v>
      </c>
      <c r="N61" s="757">
        <f ca="1">N64+N67</f>
        <v>178921.24</v>
      </c>
      <c r="O61" s="757">
        <f ca="1">IF(L61&gt;0,N61*100/L61,0)</f>
        <v>45.877241025641027</v>
      </c>
      <c r="P61" s="757">
        <f ca="1">IF(M61&gt;0,N61*100/M61,0)</f>
        <v>60.74392802580207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390000</v>
      </c>
      <c r="M62" s="425">
        <f ca="1">M63+M64</f>
        <v>294550</v>
      </c>
      <c r="N62" s="425">
        <f ca="1">N63+N64</f>
        <v>178921.24</v>
      </c>
      <c r="O62" s="425">
        <f ca="1">IF(L62&gt;0,N62*100/L62,0)</f>
        <v>45.877241025641027</v>
      </c>
      <c r="P62" s="425">
        <f ca="1">IF(M62&gt;0,N62*100/M62,0)</f>
        <v>60.74392802580207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IFERROR(__xludf.DUMMYFUNCTION("IMPORTRANGE(""https://docs.google.com/spreadsheets/d/1-uDff_7J0KD5mKrp0Vvzr7lt3OU09vwQwhkpOPPYv2Y/edit?usp=sharing"",""งบพรบ!AC80"")"),390000)</f>
        <v>390000</v>
      </c>
      <c r="M64" s="425">
        <f ca="1">IFERROR(__xludf.DUMMYFUNCTION("IMPORTRANGE(""https://docs.google.com/spreadsheets/d/1-uDff_7J0KD5mKrp0Vvzr7lt3OU09vwQwhkpOPPYv2Y/edit?usp=sharing"",""งบพรบ!AH80"")"),294550)</f>
        <v>294550</v>
      </c>
      <c r="N64" s="425">
        <f ca="1">IFERROR(__xludf.DUMMYFUNCTION("IMPORTRANGE(""https://docs.google.com/spreadsheets/d/1-uDff_7J0KD5mKrp0Vvzr7lt3OU09vwQwhkpOPPYv2Y/edit?usp=sharing"",""งบพรบ!AJ80"")"),178921.24)</f>
        <v>178921.24</v>
      </c>
      <c r="O64" s="425">
        <f ca="1">IF(L64&gt;0,N64*100/L64,0)</f>
        <v>45.877241025641027</v>
      </c>
      <c r="P64" s="425">
        <f ca="1">IF(M64&gt;0,N64*100/M64,0)</f>
        <v>60.74392802580207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IFERROR(__xludf.DUMMYFUNCTION("IMPORTRANGE(""https://docs.google.com/spreadsheets/d/1-uDff_7J0KD5mKrp0Vvzr7lt3OU09vwQwhkpOPPYv2Y/edit?usp=sharing"",""งบพรบ!AF80"")"),0)</f>
        <v>0</v>
      </c>
      <c r="M67" s="752">
        <f ca="1">IFERROR(__xludf.DUMMYFUNCTION("IMPORTRANGE(""https://docs.google.com/spreadsheets/d/1-uDff_7J0KD5mKrp0Vvzr7lt3OU09vwQwhkpOPPYv2Y/edit?usp=sharing"",""งบพรบ!AI80"")"),0)</f>
        <v>0</v>
      </c>
      <c r="N67" s="752">
        <f ca="1">IFERROR(__xludf.DUMMYFUNCTION("IMPORTRANGE(""https://docs.google.com/spreadsheets/d/1-uDff_7J0KD5mKrp0Vvzr7lt3OU09vwQwhkpOPPYv2Y/edit?usp=sharing"",""งบพรบ!AK80"")"),0)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IFERROR(__xludf.DUMMYFUNCTION("IMPORTRANGE(""https://docs.google.com/spreadsheets/d/1-uDff_7J0KD5mKrp0Vvzr7lt3OU09vwQwhkpOPPYv2Y/edit?usp=sharing"",""งบพรบ!AM80"")"),0)</f>
        <v>0</v>
      </c>
      <c r="M77" s="425">
        <f ca="1">IFERROR(__xludf.DUMMYFUNCTION("IMPORTRANGE(""https://docs.google.com/spreadsheets/d/1-uDff_7J0KD5mKrp0Vvzr7lt3OU09vwQwhkpOPPYv2Y/edit?usp=sharing"",""งบพรบ!AR80"")"),0)</f>
        <v>0</v>
      </c>
      <c r="N77" s="425">
        <f ca="1">IFERROR(__xludf.DUMMYFUNCTION("IMPORTRANGE(""https://docs.google.com/spreadsheets/d/1-uDff_7J0KD5mKrp0Vvzr7lt3OU09vwQwhkpOPPYv2Y/edit?usp=sharing"",""งบพรบ!AT80"")"),0)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IFERROR(__xludf.DUMMYFUNCTION("IMPORTRANGE(""https://docs.google.com/spreadsheets/d/1-uDff_7J0KD5mKrp0Vvzr7lt3OU09vwQwhkpOPPYv2Y/edit?usp=sharing"",""งบพรบ!AP80"")"),0)</f>
        <v>0</v>
      </c>
      <c r="M80" s="425">
        <f ca="1">IFERROR(__xludf.DUMMYFUNCTION("IMPORTRANGE(""https://docs.google.com/spreadsheets/d/1-uDff_7J0KD5mKrp0Vvzr7lt3OU09vwQwhkpOPPYv2Y/edit?usp=sharing"",""งบพรบ!AS80"")"),0)</f>
        <v>0</v>
      </c>
      <c r="N80" s="425">
        <f ca="1">IFERROR(__xludf.DUMMYFUNCTION("IMPORTRANGE(""https://docs.google.com/spreadsheets/d/1-uDff_7J0KD5mKrp0Vvzr7lt3OU09vwQwhkpOPPYv2Y/edit?usp=sharing"",""งบพรบ!AU80"")"),0)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IFERROR(__xludf.DUMMYFUNCTION("IMPORTRANGE(""https://docs.google.com/spreadsheets/d/1eHaY18a8A9IcSdp1K8H6x8fbOy06t2VsZHhMHf-1x7Y/edit?usp=sharing"",""แผน!H80"")"),0)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IFERROR(__xludf.DUMMYFUNCTION("IMPORTRANGE(""https://docs.google.com/spreadsheets/d/1eHaY18a8A9IcSdp1K8H6x8fbOy06t2VsZHhMHf-1x7Y/edit?usp=sharing"",""แผน!I80"")"),0)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IFERROR(__xludf.DUMMYFUNCTION("IMPORTRANGE(""https://docs.google.com/spreadsheets/d/1eHaY18a8A9IcSdp1K8H6x8fbOy06t2VsZHhMHf-1x7Y/edit?usp=sharing"",""แผน!F80"")"),0)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IFERROR(__xludf.DUMMYFUNCTION("IMPORTRANGE(""https://docs.google.com/spreadsheets/d/1eHaY18a8A9IcSdp1K8H6x8fbOy06t2VsZHhMHf-1x7Y/edit?usp=sharing"",""แผน!G80"")"),0)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IFERROR(__xludf.DUMMYFUNCTION("IMPORTRANGE(""https://docs.google.com/spreadsheets/d/1eHaY18a8A9IcSdp1K8H6x8fbOy06t2VsZHhMHf-1x7Y/edit?usp=sharing"",""แผน!D80"")"),0)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IFERROR(__xludf.DUMMYFUNCTION("IMPORTRANGE(""https://docs.google.com/spreadsheets/d/1eHaY18a8A9IcSdp1K8H6x8fbOy06t2VsZHhMHf-1x7Y/edit?usp=sharing"",""แผน!E80"")"),0)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IFERROR(__xludf.DUMMYFUNCTION("IMPORTRANGE(""https://docs.google.com/spreadsheets/d/1eHaY18a8A9IcSdp1K8H6x8fbOy06t2VsZHhMHf-1x7Y/edit?usp=sharing"",""แผน!J80"")"),0)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IFERROR(__xludf.DUMMYFUNCTION("IMPORTRANGE(""https://docs.google.com/spreadsheets/d/1-uDff_7J0KD5mKrp0Vvzr7lt3OU09vwQwhkpOPPYv2Y/edit?usp=sharing"",""งบพรบ!AW80"")"),0)</f>
        <v>0</v>
      </c>
      <c r="M99" s="425">
        <f ca="1">IFERROR(__xludf.DUMMYFUNCTION("IMPORTRANGE(""https://docs.google.com/spreadsheets/d/1-uDff_7J0KD5mKrp0Vvzr7lt3OU09vwQwhkpOPPYv2Y/edit?usp=sharing"",""งบพรบ!BB80"")"),0)</f>
        <v>0</v>
      </c>
      <c r="N99" s="425">
        <f ca="1">IFERROR(__xludf.DUMMYFUNCTION("IMPORTRANGE(""https://docs.google.com/spreadsheets/d/1-uDff_7J0KD5mKrp0Vvzr7lt3OU09vwQwhkpOPPYv2Y/edit?usp=sharing"",""งบพรบ!BD80"")"),0)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IFERROR(__xludf.DUMMYFUNCTION("IMPORTRANGE(""https://docs.google.com/spreadsheets/d/1-uDff_7J0KD5mKrp0Vvzr7lt3OU09vwQwhkpOPPYv2Y/edit?usp=sharing"",""งบพรบ!AZ80"")"),0)</f>
        <v>0</v>
      </c>
      <c r="M102" s="425">
        <f ca="1">IFERROR(__xludf.DUMMYFUNCTION("IMPORTRANGE(""https://docs.google.com/spreadsheets/d/1-uDff_7J0KD5mKrp0Vvzr7lt3OU09vwQwhkpOPPYv2Y/edit?usp=sharing"",""งบพรบ!BC80"")"),0)</f>
        <v>0</v>
      </c>
      <c r="N102" s="425">
        <f ca="1">IFERROR(__xludf.DUMMYFUNCTION("IMPORTRANGE(""https://docs.google.com/spreadsheets/d/1-uDff_7J0KD5mKrp0Vvzr7lt3OU09vwQwhkpOPPYv2Y/edit?usp=sharing"",""งบพรบ!BE80"")"),0)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IFERROR(__xludf.DUMMYFUNCTION("IMPORTRANGE(""https://docs.google.com/spreadsheets/d/1eHaY18a8A9IcSdp1K8H6x8fbOy06t2VsZHhMHf-1x7Y/edit?usp=sharing"",""แผน!N80"")"),0)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IFERROR(__xludf.DUMMYFUNCTION("IMPORTRANGE(""https://docs.google.com/spreadsheets/d/1eHaY18a8A9IcSdp1K8H6x8fbOy06t2VsZHhMHf-1x7Y/edit?usp=sharing"",""แผน!O80"")"),0)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IFERROR(__xludf.DUMMYFUNCTION("IMPORTRANGE(""https://docs.google.com/spreadsheets/d/1eHaY18a8A9IcSdp1K8H6x8fbOy06t2VsZHhMHf-1x7Y/edit?usp=sharing"",""แผน!R80"")"),0)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IFERROR(__xludf.DUMMYFUNCTION("IMPORTRANGE(""https://docs.google.com/spreadsheets/d/1-uDff_7J0KD5mKrp0Vvzr7lt3OU09vwQwhkpOPPYv2Y/edit?usp=sharing"",""งบพรบ!BG80"")"),0)</f>
        <v>0</v>
      </c>
      <c r="M130" s="728">
        <f ca="1">IFERROR(__xludf.DUMMYFUNCTION("IMPORTRANGE(""https://docs.google.com/spreadsheets/d/1-uDff_7J0KD5mKrp0Vvzr7lt3OU09vwQwhkpOPPYv2Y/edit?usp=sharing"",""งบพรบ!BL80"")"),0)</f>
        <v>0</v>
      </c>
      <c r="N130" s="728">
        <f ca="1">IFERROR(__xludf.DUMMYFUNCTION("IMPORTRANGE(""https://docs.google.com/spreadsheets/d/1-uDff_7J0KD5mKrp0Vvzr7lt3OU09vwQwhkpOPPYv2Y/edit?usp=sharing"",""งบพรบ!BN80"")"),0)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IFERROR(__xludf.DUMMYFUNCTION("IMPORTRANGE(""https://docs.google.com/spreadsheets/d/1-uDff_7J0KD5mKrp0Vvzr7lt3OU09vwQwhkpOPPYv2Y/edit?usp=sharing"",""งบพรบ!BJ80"")"),0)</f>
        <v>0</v>
      </c>
      <c r="M133" s="728">
        <f ca="1">IFERROR(__xludf.DUMMYFUNCTION("IMPORTRANGE(""https://docs.google.com/spreadsheets/d/1-uDff_7J0KD5mKrp0Vvzr7lt3OU09vwQwhkpOPPYv2Y/edit?usp=sharing"",""งบพรบ!BM80"")"),0)</f>
        <v>0</v>
      </c>
      <c r="N133" s="728">
        <f ca="1">IFERROR(__xludf.DUMMYFUNCTION("IMPORTRANGE(""https://docs.google.com/spreadsheets/d/1-uDff_7J0KD5mKrp0Vvzr7lt3OU09vwQwhkpOPPYv2Y/edit?usp=sharing"",""งบพรบ!BO80"")"),0)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hidden="1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hidden="1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hidden="1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hidden="1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hidden="1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0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hidden="1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0</v>
      </c>
      <c r="M139" s="550">
        <f ca="1">M140+M141</f>
        <v>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hidden="1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hidden="1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IFERROR(__xludf.DUMMYFUNCTION("IMPORTRANGE(""https://docs.google.com/spreadsheets/d/1-uDff_7J0KD5mKrp0Vvzr7lt3OU09vwQwhkpOPPYv2Y/edit?usp=sharing"",""งบพรบ!BQ80"")"),0)</f>
        <v>0</v>
      </c>
      <c r="M144" s="425">
        <f ca="1">IFERROR(__xludf.DUMMYFUNCTION("IMPORTRANGE(""https://docs.google.com/spreadsheets/d/1-uDff_7J0KD5mKrp0Vvzr7lt3OU09vwQwhkpOPPYv2Y/edit?usp=sharing"",""งบพรบ!BV80"")"),0)</f>
        <v>0</v>
      </c>
      <c r="N144" s="425">
        <f ca="1">IFERROR(__xludf.DUMMYFUNCTION("IMPORTRANGE(""https://docs.google.com/spreadsheets/d/1-uDff_7J0KD5mKrp0Vvzr7lt3OU09vwQwhkpOPPYv2Y/edit?usp=sharing"",""งบพรบ!BX80"")"),0)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hidden="1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IFERROR(__xludf.DUMMYFUNCTION("IMPORTRANGE(""https://docs.google.com/spreadsheets/d/1-uDff_7J0KD5mKrp0Vvzr7lt3OU09vwQwhkpOPPYv2Y/edit?usp=sharing"",""งบพรบ!BT80"")"),0)</f>
        <v>0</v>
      </c>
      <c r="M147" s="425">
        <f ca="1">IFERROR(__xludf.DUMMYFUNCTION("IMPORTRANGE(""https://docs.google.com/spreadsheets/d/1-uDff_7J0KD5mKrp0Vvzr7lt3OU09vwQwhkpOPPYv2Y/edit?usp=sharing"",""งบพรบ!BW80"")"),0)</f>
        <v>0</v>
      </c>
      <c r="N147" s="425">
        <f ca="1">IFERROR(__xludf.DUMMYFUNCTION("IMPORTRANGE(""https://docs.google.com/spreadsheets/d/1-uDff_7J0KD5mKrp0Vvzr7lt3OU09vwQwhkpOPPYv2Y/edit?usp=sharing"",""งบพรบ!BY80"")"),0)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IFERROR(__xludf.DUMMYFUNCTION("IMPORTRANGE(""https://docs.google.com/spreadsheets/d/1eHaY18a8A9IcSdp1K8H6x8fbOy06t2VsZHhMHf-1x7Y/edit?usp=sharing"",""แผน!U80"")"),0)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IFERROR(__xludf.DUMMYFUNCTION("IMPORTRANGE(""https://docs.google.com/spreadsheets/d/1eHaY18a8A9IcSdp1K8H6x8fbOy06t2VsZHhMHf-1x7Y/edit?usp=sharing"",""แผน!V80"")"),0)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IFERROR(__xludf.DUMMYFUNCTION("IMPORTRANGE(""https://docs.google.com/spreadsheets/d/1eHaY18a8A9IcSdp1K8H6x8fbOy06t2VsZHhMHf-1x7Y/edit?usp=sharing"",""แผน!W80"")"),0)</f>
        <v>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IFERROR(__xludf.DUMMYFUNCTION("IMPORTRANGE(""https://docs.google.com/spreadsheets/d/1eHaY18a8A9IcSdp1K8H6x8fbOy06t2VsZHhMHf-1x7Y/edit?usp=sharing"",""แผน!X80"")"),0)</f>
        <v>0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IFERROR(__xludf.DUMMYFUNCTION("IMPORTRANGE(""https://docs.google.com/spreadsheets/d/1eHaY18a8A9IcSdp1K8H6x8fbOy06t2VsZHhMHf-1x7Y/edit?usp=sharing"",""แผน!Y80"")"),0)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IFERROR(__xludf.DUMMYFUNCTION("IMPORTRANGE(""https://docs.google.com/spreadsheets/d/1-uDff_7J0KD5mKrp0Vvzr7lt3OU09vwQwhkpOPPYv2Y/edit?usp=sharing"",""งบพรบ!CA80"")"),0)</f>
        <v>0</v>
      </c>
      <c r="M162" s="425">
        <f ca="1">IFERROR(__xludf.DUMMYFUNCTION("IMPORTRANGE(""https://docs.google.com/spreadsheets/d/1-uDff_7J0KD5mKrp0Vvzr7lt3OU09vwQwhkpOPPYv2Y/edit?usp=sharing"",""งบพรบ!CF80"")"),0)</f>
        <v>0</v>
      </c>
      <c r="N162" s="425">
        <f ca="1">IFERROR(__xludf.DUMMYFUNCTION("IMPORTRANGE(""https://docs.google.com/spreadsheets/d/1-uDff_7J0KD5mKrp0Vvzr7lt3OU09vwQwhkpOPPYv2Y/edit?usp=sharing"",""งบพรบ!CH80"")"),0)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IFERROR(__xludf.DUMMYFUNCTION("IMPORTRANGE(""https://docs.google.com/spreadsheets/d/1-uDff_7J0KD5mKrp0Vvzr7lt3OU09vwQwhkpOPPYv2Y/edit?usp=sharing"",""งบพรบ!CD80"")"),0)</f>
        <v>0</v>
      </c>
      <c r="M165" s="425">
        <f ca="1">IFERROR(__xludf.DUMMYFUNCTION("IMPORTRANGE(""https://docs.google.com/spreadsheets/d/1-uDff_7J0KD5mKrp0Vvzr7lt3OU09vwQwhkpOPPYv2Y/edit?usp=sharing"",""งบพรบ!CG80"")"),0)</f>
        <v>0</v>
      </c>
      <c r="N165" s="425">
        <f ca="1">IFERROR(__xludf.DUMMYFUNCTION("IMPORTRANGE(""https://docs.google.com/spreadsheets/d/1-uDff_7J0KD5mKrp0Vvzr7lt3OU09vwQwhkpOPPYv2Y/edit?usp=sharing"",""งบพรบ!CI80"")"),0)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IFERROR(__xludf.DUMMYFUNCTION("IMPORTRANGE(""https://docs.google.com/spreadsheets/d/1eHaY18a8A9IcSdp1K8H6x8fbOy06t2VsZHhMHf-1x7Y/edit?usp=sharing"",""แผน!Z80"")"),0)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IFERROR(__xludf.DUMMYFUNCTION("IMPORTRANGE(""https://docs.google.com/spreadsheets/d/1eHaY18a8A9IcSdp1K8H6x8fbOy06t2VsZHhMHf-1x7Y/edit?usp=sharing"",""แผน!Z80"")"),0)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IFERROR(__xludf.DUMMYFUNCTION("IMPORTRANGE(""https://docs.google.com/spreadsheets/d/1eHaY18a8A9IcSdp1K8H6x8fbOy06t2VsZHhMHf-1x7Y/edit?usp=sharing"",""แผน!Z80"")"),0)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6200</v>
      </c>
      <c r="O173" s="550">
        <f ca="1">IF(L173&gt;0,N173*100/L173,0)</f>
        <v>31.648800408371617</v>
      </c>
      <c r="P173" s="550">
        <f ca="1">IF(M173&gt;0,N173*100/M173,0)</f>
        <v>31.648800408371617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6200</v>
      </c>
      <c r="O175" s="425">
        <f ca="1">IF(L175&gt;0,N175*100/L175,0)</f>
        <v>31.648800408371617</v>
      </c>
      <c r="P175" s="425">
        <f ca="1">IF(M175&gt;0,N175*100/M175,0)</f>
        <v>31.648800408371617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6200</v>
      </c>
      <c r="O176" s="425">
        <f ca="1">IF(L176&gt;0,N176*100/L176,0)</f>
        <v>31.648800408371617</v>
      </c>
      <c r="P176" s="425">
        <f ca="1">IF(M176&gt;0,N176*100/M176,0)</f>
        <v>31.648800408371617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IFERROR(__xludf.DUMMYFUNCTION("IMPORTRANGE(""https://docs.google.com/spreadsheets/d/1-uDff_7J0KD5mKrp0Vvzr7lt3OU09vwQwhkpOPPYv2Y/edit?usp=sharing"",""งบพรบ!CK80"")"),19590)</f>
        <v>19590</v>
      </c>
      <c r="M178" s="425">
        <f ca="1">IFERROR(__xludf.DUMMYFUNCTION("IMPORTRANGE(""https://docs.google.com/spreadsheets/d/1-uDff_7J0KD5mKrp0Vvzr7lt3OU09vwQwhkpOPPYv2Y/edit?usp=sharing"",""งบพรบ!CP80"")"),19590)</f>
        <v>19590</v>
      </c>
      <c r="N178" s="425">
        <f ca="1">IFERROR(__xludf.DUMMYFUNCTION("IMPORTRANGE(""https://docs.google.com/spreadsheets/d/1-uDff_7J0KD5mKrp0Vvzr7lt3OU09vwQwhkpOPPYv2Y/edit?usp=sharing"",""งบพรบ!CR80"")"),6200)</f>
        <v>6200</v>
      </c>
      <c r="O178" s="425">
        <f ca="1">IF(L178&gt;0,N178*100/L178,0)</f>
        <v>31.648800408371617</v>
      </c>
      <c r="P178" s="425">
        <f ca="1">IF(M178&gt;0,N178*100/M178,0)</f>
        <v>31.648800408371617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IFERROR(__xludf.DUMMYFUNCTION("IMPORTRANGE(""https://docs.google.com/spreadsheets/d/1-uDff_7J0KD5mKrp0Vvzr7lt3OU09vwQwhkpOPPYv2Y/edit?usp=sharing"",""งบพรบ!CN80"")"),0)</f>
        <v>0</v>
      </c>
      <c r="M181" s="425">
        <f ca="1">IFERROR(__xludf.DUMMYFUNCTION("IMPORTRANGE(""https://docs.google.com/spreadsheets/d/1-uDff_7J0KD5mKrp0Vvzr7lt3OU09vwQwhkpOPPYv2Y/edit?usp=sharing"",""งบพรบ!CQ80"")"),0)</f>
        <v>0</v>
      </c>
      <c r="N181" s="425">
        <f ca="1">IFERROR(__xludf.DUMMYFUNCTION("IMPORTRANGE(""https://docs.google.com/spreadsheets/d/1-uDff_7J0KD5mKrp0Vvzr7lt3OU09vwQwhkpOPPYv2Y/edit?usp=sharing"",""งบพรบ!CS80"")"),0)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IFERROR(__xludf.DUMMYFUNCTION("IMPORTRANGE(""https://docs.google.com/spreadsheets/d/1eHaY18a8A9IcSdp1K8H6x8fbOy06t2VsZHhMHf-1x7Y/edit?usp=sharing"",""แผน!AA80"")"),7)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105500</v>
      </c>
      <c r="M186" s="550">
        <f ca="1">M187+M188</f>
        <v>72500</v>
      </c>
      <c r="N186" s="550">
        <f ca="1">N187+N188</f>
        <v>54924</v>
      </c>
      <c r="O186" s="550">
        <f ca="1">IF(L186&gt;0,N186*100/L186,0)</f>
        <v>52.060663507109005</v>
      </c>
      <c r="P186" s="550">
        <f ca="1">IF(M186&gt;0,N186*100/M186,0)</f>
        <v>75.757241379310344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105500</v>
      </c>
      <c r="M188" s="425">
        <f ca="1">M191+M194</f>
        <v>72500</v>
      </c>
      <c r="N188" s="425">
        <f ca="1">N191+N194</f>
        <v>54924</v>
      </c>
      <c r="O188" s="425">
        <f ca="1">IF(L188&gt;0,N188*100/L188,0)</f>
        <v>52.060663507109005</v>
      </c>
      <c r="P188" s="425">
        <f ca="1">IF(M188&gt;0,N188*100/M188,0)</f>
        <v>75.757241379310344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105500</v>
      </c>
      <c r="M189" s="425">
        <f ca="1">M190+M191</f>
        <v>72500</v>
      </c>
      <c r="N189" s="425">
        <f ca="1">N190+N191</f>
        <v>54924</v>
      </c>
      <c r="O189" s="425">
        <f ca="1">IF(L189&gt;0,N189*100/L189,0)</f>
        <v>52.060663507109005</v>
      </c>
      <c r="P189" s="425">
        <f ca="1">IF(M189&gt;0,N189*100/M189,0)</f>
        <v>75.757241379310344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IFERROR(__xludf.DUMMYFUNCTION("IMPORTRANGE(""https://docs.google.com/spreadsheets/d/1-uDff_7J0KD5mKrp0Vvzr7lt3OU09vwQwhkpOPPYv2Y/edit?usp=sharing"",""งบพรบ!CU80"")"),105500)</f>
        <v>105500</v>
      </c>
      <c r="M191" s="425">
        <f ca="1">IFERROR(__xludf.DUMMYFUNCTION("IMPORTRANGE(""https://docs.google.com/spreadsheets/d/1-uDff_7J0KD5mKrp0Vvzr7lt3OU09vwQwhkpOPPYv2Y/edit?usp=sharing"",""งบพรบ!CZ80"")"),72500)</f>
        <v>72500</v>
      </c>
      <c r="N191" s="425">
        <f ca="1">IFERROR(__xludf.DUMMYFUNCTION("IMPORTRANGE(""https://docs.google.com/spreadsheets/d/1-uDff_7J0KD5mKrp0Vvzr7lt3OU09vwQwhkpOPPYv2Y/edit?usp=sharing"",""งบพรบ!DB80"")"),54924)</f>
        <v>54924</v>
      </c>
      <c r="O191" s="425">
        <f ca="1">IF(L191&gt;0,N191*100/L191,0)</f>
        <v>52.060663507109005</v>
      </c>
      <c r="P191" s="425">
        <f ca="1">IF(M191&gt;0,N191*100/M191,0)</f>
        <v>75.757241379310344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IFERROR(__xludf.DUMMYFUNCTION("IMPORTRANGE(""https://docs.google.com/spreadsheets/d/1-uDff_7J0KD5mKrp0Vvzr7lt3OU09vwQwhkpOPPYv2Y/edit?usp=sharing"",""งบพรบ!CX80"")"),0)</f>
        <v>0</v>
      </c>
      <c r="M194" s="425">
        <f ca="1">IFERROR(__xludf.DUMMYFUNCTION("IMPORTRANGE(""https://docs.google.com/spreadsheets/d/1-uDff_7J0KD5mKrp0Vvzr7lt3OU09vwQwhkpOPPYv2Y/edit?usp=sharing"",""งบพรบ!DA80"")"),0)</f>
        <v>0</v>
      </c>
      <c r="N194" s="425">
        <f ca="1">IFERROR(__xludf.DUMMYFUNCTION("IMPORTRANGE(""https://docs.google.com/spreadsheets/d/1-uDff_7J0KD5mKrp0Vvzr7lt3OU09vwQwhkpOPPYv2Y/edit?usp=sharing"",""งบพรบ!DC80"")"),0)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IFERROR(__xludf.DUMMYFUNCTION("IMPORTRANGE(""https://docs.google.com/spreadsheets/d/1eHaY18a8A9IcSdp1K8H6x8fbOy06t2VsZHhMHf-1x7Y/edit?usp=sharing"",""แผน!AB80"")"),6000)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IFERROR(__xludf.DUMMYFUNCTION("IMPORTRANGE(""https://docs.google.com/spreadsheets/d/1eHaY18a8A9IcSdp1K8H6x8fbOy06t2VsZHhMHf-1x7Y/edit?usp=sharing"",""แผน!AE80"")"),4)</f>
        <v>4</v>
      </c>
      <c r="J198" s="568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41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41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1</v>
      </c>
      <c r="J202" s="438">
        <f>J209</f>
        <v>1</v>
      </c>
      <c r="K202" s="439">
        <f ca="1">IF(I202&gt;0,J202*100/I202,0)</f>
        <v>100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13000</v>
      </c>
      <c r="M203" s="428"/>
      <c r="N203" s="550">
        <f>N204+N205+N206+N207</f>
        <v>8000</v>
      </c>
      <c r="O203" s="550">
        <f ca="1">IF(L203&gt;0,N203*100/L203,0)</f>
        <v>61.53846153846154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IFERROR(__xludf.DUMMYFUNCTION("IMPORTRANGE(""https://docs.google.com/spreadsheets/d/1eHaY18a8A9IcSdp1K8H6x8fbOy06t2VsZHhMHf-1x7Y/edit?usp=sharing"",""แผน!AG80"")"),1000)</f>
        <v>1000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IFERROR(__xludf.DUMMYFUNCTION("IMPORTRANGE(""https://docs.google.com/spreadsheets/d/1eHaY18a8A9IcSdp1K8H6x8fbOy06t2VsZHhMHf-1x7Y/edit?usp=sharing"",""แผน!AH80"")"),0)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IFERROR(__xludf.DUMMYFUNCTION("IMPORTRANGE(""https://docs.google.com/spreadsheets/d/1eHaY18a8A9IcSdp1K8H6x8fbOy06t2VsZHhMHf-1x7Y/edit?usp=sharing"",""แผน!AI80"")"),8000)</f>
        <v>8000</v>
      </c>
      <c r="M206" s="428"/>
      <c r="N206" s="683">
        <v>8000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IFERROR(__xludf.DUMMYFUNCTION("IMPORTRANGE(""https://docs.google.com/spreadsheets/d/1eHaY18a8A9IcSdp1K8H6x8fbOy06t2VsZHhMHf-1x7Y/edit?usp=sharing"",""แผน!AJ80"")"),4000)</f>
        <v>4000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IFERROR(__xludf.DUMMYFUNCTION("IMPORTRANGE(""https://docs.google.com/spreadsheets/d/1eHaY18a8A9IcSdp1K8H6x8fbOy06t2VsZHhMHf-1x7Y/edit?usp=sharing"",""แผน!AK80"")"),1)</f>
        <v>1</v>
      </c>
      <c r="J209" s="568">
        <v>1</v>
      </c>
      <c r="K209" s="594">
        <f ca="1">IF(I209&gt;0,J209*100/I209,0)</f>
        <v>100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IFERROR(__xludf.DUMMYFUNCTION("IMPORTRANGE(""https://docs.google.com/spreadsheets/d/1eHaY18a8A9IcSdp1K8H6x8fbOy06t2VsZHhMHf-1x7Y/edit?usp=sharing"",""แผน!JX80"")"),1)</f>
        <v>1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IFERROR(__xludf.DUMMYFUNCTION("IMPORTRANGE(""https://docs.google.com/spreadsheets/d/1eHaY18a8A9IcSdp1K8H6x8fbOy06t2VsZHhMHf-1x7Y/edit?usp=sharing"",""แผน!JY80"")"),0)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hidden="1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hidden="1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IFERROR(__xludf.DUMMYFUNCTION("IMPORTRANGE(""https://docs.google.com/spreadsheets/d/1eHaY18a8A9IcSdp1K8H6x8fbOy06t2VsZHhMHf-1x7Y/edit?usp=sharing"",""แผน!AM80"")"),0)</f>
        <v>0</v>
      </c>
      <c r="M215" s="428"/>
      <c r="N215" s="683">
        <v>0</v>
      </c>
      <c r="O215" s="527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IFERROR(__xludf.DUMMYFUNCTION("IMPORTRANGE(""https://docs.google.com/spreadsheets/d/1eHaY18a8A9IcSdp1K8H6x8fbOy06t2VsZHhMHf-1x7Y/edit?usp=sharing"",""แผน!AN80"")"),0)</f>
        <v>0</v>
      </c>
      <c r="M216" s="428"/>
      <c r="N216" s="683">
        <v>0</v>
      </c>
      <c r="O216" s="527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IFERROR(__xludf.DUMMYFUNCTION("IMPORTRANGE(""https://docs.google.com/spreadsheets/d/1eHaY18a8A9IcSdp1K8H6x8fbOy06t2VsZHhMHf-1x7Y/edit?usp=sharing"",""แผน!AO80"")"),0)</f>
        <v>0</v>
      </c>
      <c r="M217" s="428"/>
      <c r="N217" s="683">
        <v>0</v>
      </c>
      <c r="O217" s="527"/>
      <c r="P217" s="428"/>
    </row>
    <row r="218" spans="1:16" ht="19.5" hidden="1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hidden="1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IFERROR(__xludf.DUMMYFUNCTION("IMPORTRANGE(""https://docs.google.com/spreadsheets/d/1eHaY18a8A9IcSdp1K8H6x8fbOy06t2VsZHhMHf-1x7Y/edit?usp=sharing"",""แผน!AP80"")"),0)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IFERROR(__xludf.DUMMYFUNCTION("IMPORTRANGE(""https://docs.google.com/spreadsheets/d/1eHaY18a8A9IcSdp1K8H6x8fbOy06t2VsZHhMHf-1x7Y/edit?usp=sharing"",""แผน!AP80"")"),0)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12800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IFERROR(__xludf.DUMMYFUNCTION("IMPORTRANGE(""https://docs.google.com/spreadsheets/d/1eHaY18a8A9IcSdp1K8H6x8fbOy06t2VsZHhMHf-1x7Y/edit?usp=sharing"",""แผน!AR80"")"),3000)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IFERROR(__xludf.DUMMYFUNCTION("IMPORTRANGE(""https://docs.google.com/spreadsheets/d/1eHaY18a8A9IcSdp1K8H6x8fbOy06t2VsZHhMHf-1x7Y/edit?usp=sharing"",""แผน!AS80"")"),1500)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IFERROR(__xludf.DUMMYFUNCTION("IMPORTRANGE(""https://docs.google.com/spreadsheets/d/1eHaY18a8A9IcSdp1K8H6x8fbOy06t2VsZHhMHf-1x7Y/edit?usp=sharing"",""แผน!AT80"")"),0)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IFERROR(__xludf.DUMMYFUNCTION("IMPORTRANGE(""https://docs.google.com/spreadsheets/d/1eHaY18a8A9IcSdp1K8H6x8fbOy06t2VsZHhMHf-1x7Y/edit?usp=sharing"",""แผน!AV80"")"),12800)</f>
        <v>12800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IFERROR(__xludf.DUMMYFUNCTION("IMPORTRANGE(""https://docs.google.com/spreadsheets/d/1eHaY18a8A9IcSdp1K8H6x8fbOy06t2VsZHhMHf-1x7Y/edit?usp=sharing"",""แผน!AV80"")"),12800)</f>
        <v>12800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IFERROR(__xludf.DUMMYFUNCTION("IMPORTRANGE(""https://docs.google.com/spreadsheets/d/1eHaY18a8A9IcSdp1K8H6x8fbOy06t2VsZHhMHf-1x7Y/edit?usp=sharing"",""แผน!AU80"")"),0)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IFERROR(__xludf.DUMMYFUNCTION("IMPORTRANGE(""https://docs.google.com/spreadsheets/d/1eHaY18a8A9IcSdp1K8H6x8fbOy06t2VsZHhMHf-1x7Y/edit?usp=sharing"",""แผน!AX80"")"),0)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IFERROR(__xludf.DUMMYFUNCTION("IMPORTRANGE(""https://docs.google.com/spreadsheets/d/1eHaY18a8A9IcSdp1K8H6x8fbOy06t2VsZHhMHf-1x7Y/edit?usp=sharing"",""แผน!AY80"")"),0)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IFERROR(__xludf.DUMMYFUNCTION("IMPORTRANGE(""https://docs.google.com/spreadsheets/d/1eHaY18a8A9IcSdp1K8H6x8fbOy06t2VsZHhMHf-1x7Y/edit?usp=sharing"",""แผน!AZ80"")"),0)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IFERROR(__xludf.DUMMYFUNCTION("IMPORTRANGE(""https://docs.google.com/spreadsheets/d/1eHaY18a8A9IcSdp1K8H6x8fbOy06t2VsZHhMHf-1x7Y/edit?usp=sharing"",""แผน!BA80"")"),0)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IFERROR(__xludf.DUMMYFUNCTION("IMPORTRANGE(""https://docs.google.com/spreadsheets/d/1eHaY18a8A9IcSdp1K8H6x8fbOy06t2VsZHhMHf-1x7Y/edit?usp=sharing"",""แผน!BG80"")"),0)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IFERROR(__xludf.DUMMYFUNCTION("IMPORTRANGE(""https://docs.google.com/spreadsheets/d/1eHaY18a8A9IcSdp1K8H6x8fbOy06t2VsZHhMHf-1x7Y/edit?usp=sharing"",""แผน!BB80"")"),0)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IFERROR(__xludf.DUMMYFUNCTION("IMPORTRANGE(""https://docs.google.com/spreadsheets/d/1eHaY18a8A9IcSdp1K8H6x8fbOy06t2VsZHhMHf-1x7Y/edit?usp=sharing"",""แผน!BC80"")"),0)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IFERROR(__xludf.DUMMYFUNCTION("IMPORTRANGE(""https://docs.google.com/spreadsheets/d/1eHaY18a8A9IcSdp1K8H6x8fbOy06t2VsZHhMHf-1x7Y/edit?usp=sharing"",""แผน!BD80"")"),0)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IFERROR(__xludf.DUMMYFUNCTION("IMPORTRANGE(""https://docs.google.com/spreadsheets/d/1eHaY18a8A9IcSdp1K8H6x8fbOy06t2VsZHhMHf-1x7Y/edit?usp=sharing"",""แผน!BE80"")"),0)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IFERROR(__xludf.DUMMYFUNCTION("IMPORTRANGE(""https://docs.google.com/spreadsheets/d/1eHaY18a8A9IcSdp1K8H6x8fbOy06t2VsZHhMHf-1x7Y/edit?usp=sharing"",""แผน!BH80"")"),0)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IFERROR(__xludf.DUMMYFUNCTION("IMPORTRANGE(""https://docs.google.com/spreadsheets/d/1-uDff_7J0KD5mKrp0Vvzr7lt3OU09vwQwhkpOPPYv2Y/edit?usp=sharing"",""งบพรบ!DE80"")"),0)</f>
        <v>0</v>
      </c>
      <c r="M271" s="544">
        <f ca="1">IFERROR(__xludf.DUMMYFUNCTION("IMPORTRANGE(""https://docs.google.com/spreadsheets/d/1-uDff_7J0KD5mKrp0Vvzr7lt3OU09vwQwhkpOPPYv2Y/edit?usp=sharing"",""งบพรบ!DJ80"")"),0)</f>
        <v>0</v>
      </c>
      <c r="N271" s="544">
        <f ca="1">IFERROR(__xludf.DUMMYFUNCTION("IMPORTRANGE(""https://docs.google.com/spreadsheets/d/1-uDff_7J0KD5mKrp0Vvzr7lt3OU09vwQwhkpOPPYv2Y/edit?usp=sharing"",""งบพรบ!DL80"")"),0)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IFERROR(__xludf.DUMMYFUNCTION("IMPORTRANGE(""https://docs.google.com/spreadsheets/d/1-uDff_7J0KD5mKrp0Vvzr7lt3OU09vwQwhkpOPPYv2Y/edit?usp=sharing"",""งบพรบ!DH80"")"),0)</f>
        <v>0</v>
      </c>
      <c r="M274" s="544">
        <f ca="1">IFERROR(__xludf.DUMMYFUNCTION("IMPORTRANGE(""https://docs.google.com/spreadsheets/d/1-uDff_7J0KD5mKrp0Vvzr7lt3OU09vwQwhkpOPPYv2Y/edit?usp=sharing"",""งบพรบ!DK80"")"),0)</f>
        <v>0</v>
      </c>
      <c r="N274" s="544">
        <f ca="1">IFERROR(__xludf.DUMMYFUNCTION("IMPORTRANGE(""https://docs.google.com/spreadsheets/d/1-uDff_7J0KD5mKrp0Vvzr7lt3OU09vwQwhkpOPPYv2Y/edit?usp=sharing"",""งบพรบ!DM80"")"),0)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IFERROR(__xludf.DUMMYFUNCTION("IMPORTRANGE(""https://docs.google.com/spreadsheets/d/1-uDff_7J0KD5mKrp0Vvzr7lt3OU09vwQwhkpOPPYv2Y/edit?usp=sharing"",""งบพรบ!DO80"")"),0)</f>
        <v>0</v>
      </c>
      <c r="M287" s="425">
        <f ca="1">IFERROR(__xludf.DUMMYFUNCTION("IMPORTRANGE(""https://docs.google.com/spreadsheets/d/1-uDff_7J0KD5mKrp0Vvzr7lt3OU09vwQwhkpOPPYv2Y/edit?usp=sharing"",""งบพรบ!DT80"")"),0)</f>
        <v>0</v>
      </c>
      <c r="N287" s="425">
        <f ca="1">IFERROR(__xludf.DUMMYFUNCTION("IMPORTRANGE(""https://docs.google.com/spreadsheets/d/1-uDff_7J0KD5mKrp0Vvzr7lt3OU09vwQwhkpOPPYv2Y/edit?usp=sharing"",""งบพรบ!DV80"")"),0)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IFERROR(__xludf.DUMMYFUNCTION("IMPORTRANGE(""https://docs.google.com/spreadsheets/d/1-uDff_7J0KD5mKrp0Vvzr7lt3OU09vwQwhkpOPPYv2Y/edit?usp=sharing"",""งบพรบ!DR80"")"),0)</f>
        <v>0</v>
      </c>
      <c r="M290" s="425">
        <f ca="1">IFERROR(__xludf.DUMMYFUNCTION("IMPORTRANGE(""https://docs.google.com/spreadsheets/d/1-uDff_7J0KD5mKrp0Vvzr7lt3OU09vwQwhkpOPPYv2Y/edit?usp=sharing"",""งบพรบ!DU80"")"),0)</f>
        <v>0</v>
      </c>
      <c r="N290" s="425">
        <f ca="1">IFERROR(__xludf.DUMMYFUNCTION("IMPORTRANGE(""https://docs.google.com/spreadsheets/d/1-uDff_7J0KD5mKrp0Vvzr7lt3OU09vwQwhkpOPPYv2Y/edit?usp=sharing"",""งบพรบ!DW80"")"),0)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IFERROR(__xludf.DUMMYFUNCTION("IMPORTRANGE(""https://docs.google.com/spreadsheets/d/1eHaY18a8A9IcSdp1K8H6x8fbOy06t2VsZHhMHf-1x7Y/edit?usp=sharing"",""แผน!EE80"")"),0)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IFERROR(__xludf.DUMMYFUNCTION("IMPORTRANGE(""https://docs.google.com/spreadsheets/d/1eHaY18a8A9IcSdp1K8H6x8fbOy06t2VsZHhMHf-1x7Y/edit?usp=sharing"",""แผน!ED80"")"),0)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IFERROR(__xludf.DUMMYFUNCTION("IMPORTRANGE(""https://docs.google.com/spreadsheets/d/1eHaY18a8A9IcSdp1K8H6x8fbOy06t2VsZHhMHf-1x7Y/edit?usp=sharing"",""แผน!ED80"")"),0)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IFERROR(__xludf.DUMMYFUNCTION("IMPORTRANGE(""https://docs.google.com/spreadsheets/d/1eHaY18a8A9IcSdp1K8H6x8fbOy06t2VsZHhMHf-1x7Y/edit?usp=sharing"",""แผน!ED80"")"),0)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IFERROR(__xludf.DUMMYFUNCTION("IMPORTRANGE(""https://docs.google.com/spreadsheets/d/1-uDff_7J0KD5mKrp0Vvzr7lt3OU09vwQwhkpOPPYv2Y/edit?usp=sharing"",""งบพรบ!DY80"")"),0)</f>
        <v>0</v>
      </c>
      <c r="M308" s="425">
        <f ca="1">IFERROR(__xludf.DUMMYFUNCTION("IMPORTRANGE(""https://docs.google.com/spreadsheets/d/1-uDff_7J0KD5mKrp0Vvzr7lt3OU09vwQwhkpOPPYv2Y/edit?usp=sharing"",""งบพรบ!ED80"")"),0)</f>
        <v>0</v>
      </c>
      <c r="N308" s="425">
        <f ca="1">IFERROR(__xludf.DUMMYFUNCTION("IMPORTRANGE(""https://docs.google.com/spreadsheets/d/1-uDff_7J0KD5mKrp0Vvzr7lt3OU09vwQwhkpOPPYv2Y/edit?usp=sharing"",""งบพรบ!EF80"")"),0)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IFERROR(__xludf.DUMMYFUNCTION("IMPORTRANGE(""https://docs.google.com/spreadsheets/d/1-uDff_7J0KD5mKrp0Vvzr7lt3OU09vwQwhkpOPPYv2Y/edit?usp=sharing"",""งบพรบ!EB80"")"),0)</f>
        <v>0</v>
      </c>
      <c r="M311" s="425">
        <f ca="1">IFERROR(__xludf.DUMMYFUNCTION("IMPORTRANGE(""https://docs.google.com/spreadsheets/d/1-uDff_7J0KD5mKrp0Vvzr7lt3OU09vwQwhkpOPPYv2Y/edit?usp=sharing"",""งบพรบ!EE80"")"),0)</f>
        <v>0</v>
      </c>
      <c r="N311" s="425">
        <f ca="1">IFERROR(__xludf.DUMMYFUNCTION("IMPORTRANGE(""https://docs.google.com/spreadsheets/d/1-uDff_7J0KD5mKrp0Vvzr7lt3OU09vwQwhkpOPPYv2Y/edit?usp=sharing"",""งบพรบ!EG80"")"),0)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IFERROR(__xludf.DUMMYFUNCTION("IMPORTRANGE(""https://docs.google.com/spreadsheets/d/1eHaY18a8A9IcSdp1K8H6x8fbOy06t2VsZHhMHf-1x7Y/edit?usp=sharing"",""แผน!EF80"")"),0)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IFERROR(__xludf.DUMMYFUNCTION("IMPORTRANGE(""https://docs.google.com/spreadsheets/d/1eHaY18a8A9IcSdp1K8H6x8fbOy06t2VsZHhMHf-1x7Y/edit?usp=sharing"",""แผน!EG80"")"),0)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IFERROR(__xludf.DUMMYFUNCTION("IMPORTRANGE(""https://docs.google.com/spreadsheets/d/1eHaY18a8A9IcSdp1K8H6x8fbOy06t2VsZHhMHf-1x7Y/edit?usp=sharing"",""แผน!EH80"")"),0)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IFERROR(__xludf.DUMMYFUNCTION("IMPORTRANGE(""https://docs.google.com/spreadsheets/d/1eHaY18a8A9IcSdp1K8H6x8fbOy06t2VsZHhMHf-1x7Y/edit?usp=sharing"",""แผน!EI80"")"),0)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IFERROR(__xludf.DUMMYFUNCTION("IMPORTRANGE(""https://docs.google.com/spreadsheets/d/1-uDff_7J0KD5mKrp0Vvzr7lt3OU09vwQwhkpOPPYv2Y/edit?usp=sharing"",""งบพรบ!EI80"")"),0)</f>
        <v>0</v>
      </c>
      <c r="M325" s="425">
        <f ca="1">IFERROR(__xludf.DUMMYFUNCTION("IMPORTRANGE(""https://docs.google.com/spreadsheets/d/1-uDff_7J0KD5mKrp0Vvzr7lt3OU09vwQwhkpOPPYv2Y/edit?usp=sharing"",""งบพรบ!EN80"")"),0)</f>
        <v>0</v>
      </c>
      <c r="N325" s="425">
        <f ca="1">IFERROR(__xludf.DUMMYFUNCTION("IMPORTRANGE(""https://docs.google.com/spreadsheets/d/1-uDff_7J0KD5mKrp0Vvzr7lt3OU09vwQwhkpOPPYv2Y/edit?usp=sharing"",""งบพรบ!EP80"")"),0)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IFERROR(__xludf.DUMMYFUNCTION("IMPORTRANGE(""https://docs.google.com/spreadsheets/d/1-uDff_7J0KD5mKrp0Vvzr7lt3OU09vwQwhkpOPPYv2Y/edit?usp=sharing"",""งบพรบ!EL80"")"),0)</f>
        <v>0</v>
      </c>
      <c r="M328" s="425">
        <f ca="1">IFERROR(__xludf.DUMMYFUNCTION("IMPORTRANGE(""https://docs.google.com/spreadsheets/d/1-uDff_7J0KD5mKrp0Vvzr7lt3OU09vwQwhkpOPPYv2Y/edit?usp=sharing"",""งบพรบ!EO80"")"),0)</f>
        <v>0</v>
      </c>
      <c r="N328" s="425">
        <f ca="1">IFERROR(__xludf.DUMMYFUNCTION("IMPORTRANGE(""https://docs.google.com/spreadsheets/d/1-uDff_7J0KD5mKrp0Vvzr7lt3OU09vwQwhkpOPPYv2Y/edit?usp=sharing"",""งบพรบ!EQ80"")"),0)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IFERROR(__xludf.DUMMYFUNCTION("IMPORTRANGE(""https://docs.google.com/spreadsheets/d/1eHaY18a8A9IcSdp1K8H6x8fbOy06t2VsZHhMHf-1x7Y/edit?usp=sharing"",""แผน!EJ80"")"),0)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200</v>
      </c>
      <c r="J332" s="402">
        <f ca="1">J344+J347+J348+J349+J353</f>
        <v>116</v>
      </c>
      <c r="K332" s="403">
        <f ca="1">IF(I332&gt;0,J332*100/I332,0)</f>
        <v>58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99000</v>
      </c>
      <c r="M333" s="550">
        <f ca="1">M334+M335</f>
        <v>79350</v>
      </c>
      <c r="N333" s="550">
        <f ca="1">N334+N335</f>
        <v>24055</v>
      </c>
      <c r="O333" s="550">
        <f ca="1">IF(L333&gt;0,N333*100/L333,0)</f>
        <v>24.297979797979799</v>
      </c>
      <c r="P333" s="550">
        <f ca="1">IF(M333&gt;0,N333*100/M333,0)</f>
        <v>30.315059861373662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99000</v>
      </c>
      <c r="M335" s="425">
        <f ca="1">M338+M341</f>
        <v>79350</v>
      </c>
      <c r="N335" s="425">
        <f ca="1">N338+N341</f>
        <v>24055</v>
      </c>
      <c r="O335" s="425">
        <f ca="1">IF(L335&gt;0,N335*100/L335,0)</f>
        <v>24.297979797979799</v>
      </c>
      <c r="P335" s="425">
        <f ca="1">IF(M335&gt;0,N335*100/M335,0)</f>
        <v>30.315059861373662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99000</v>
      </c>
      <c r="M336" s="425">
        <f ca="1">M337+M338</f>
        <v>79350</v>
      </c>
      <c r="N336" s="425">
        <f ca="1">N337+N338</f>
        <v>24055</v>
      </c>
      <c r="O336" s="425">
        <f ca="1">IF(L336&gt;0,N336*100/L336,0)</f>
        <v>24.297979797979799</v>
      </c>
      <c r="P336" s="425">
        <f ca="1">IF(M336&gt;0,N336*100/M336,0)</f>
        <v>30.315059861373662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IFERROR(__xludf.DUMMYFUNCTION("IMPORTRANGE(""https://docs.google.com/spreadsheets/d/1-uDff_7J0KD5mKrp0Vvzr7lt3OU09vwQwhkpOPPYv2Y/edit?usp=sharing"",""งบพรบ!ES80"")"),99000)</f>
        <v>99000</v>
      </c>
      <c r="M338" s="425">
        <f ca="1">IFERROR(__xludf.DUMMYFUNCTION("IMPORTRANGE(""https://docs.google.com/spreadsheets/d/1-uDff_7J0KD5mKrp0Vvzr7lt3OU09vwQwhkpOPPYv2Y/edit?usp=sharing"",""งบพรบ!EX80"")"),79350)</f>
        <v>79350</v>
      </c>
      <c r="N338" s="425">
        <f ca="1">IFERROR(__xludf.DUMMYFUNCTION("IMPORTRANGE(""https://docs.google.com/spreadsheets/d/1-uDff_7J0KD5mKrp0Vvzr7lt3OU09vwQwhkpOPPYv2Y/edit?usp=sharing"",""งบพรบ!EZ80"")"),24055)</f>
        <v>24055</v>
      </c>
      <c r="O338" s="425">
        <f ca="1">IF(L338&gt;0,N338*100/L338,0)</f>
        <v>24.297979797979799</v>
      </c>
      <c r="P338" s="425">
        <f ca="1">IF(M338&gt;0,N338*100/M338,0)</f>
        <v>30.315059861373662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IFERROR(__xludf.DUMMYFUNCTION("IMPORTRANGE(""https://docs.google.com/spreadsheets/d/1-uDff_7J0KD5mKrp0Vvzr7lt3OU09vwQwhkpOPPYv2Y/edit?usp=sharing"",""งบพรบ!EV80"")"),0)</f>
        <v>0</v>
      </c>
      <c r="M341" s="425">
        <f ca="1">IFERROR(__xludf.DUMMYFUNCTION("IMPORTRANGE(""https://docs.google.com/spreadsheets/d/1-uDff_7J0KD5mKrp0Vvzr7lt3OU09vwQwhkpOPPYv2Y/edit?usp=sharing"",""งบพรบ!EY80"")"),0)</f>
        <v>0</v>
      </c>
      <c r="N341" s="425">
        <f ca="1">IFERROR(__xludf.DUMMYFUNCTION("IMPORTRANGE(""https://docs.google.com/spreadsheets/d/1-uDff_7J0KD5mKrp0Vvzr7lt3OU09vwQwhkpOPPYv2Y/edit?usp=sharing"",""งบพรบ!FA80"")"),0)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5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IFERROR(__xludf.DUMMYFUNCTION("IMPORTRANGE(""https://docs.google.com/spreadsheets/d/1eHaY18a8A9IcSdp1K8H6x8fbOy06t2VsZHhMHf-1x7Y/edit?usp=sharing"",""แผน!EK80"")"),200)</f>
        <v>200</v>
      </c>
      <c r="J344" s="424">
        <f ca="1">IFERROR(__xludf.DUMMYFUNCTION("IMPORTRANGE(""https://docs.google.com/spreadsheets/d/1awYsYK3VOup2i3Pq_Yjnu8DRu_mYwSBnCR2QPthd0rU/edit?usp=sharing"",""ศูนย์ยกเว้นโฉนด!D80"")"),5)</f>
        <v>5</v>
      </c>
      <c r="K344" s="425">
        <f ca="1">IF(I344&gt;0,J344*100/I344,0)</f>
        <v>2.5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IFERROR(__xludf.DUMMYFUNCTION("IMPORTRANGE(""https://docs.google.com/spreadsheets/d/1eHaY18a8A9IcSdp1K8H6x8fbOy06t2VsZHhMHf-1x7Y/edit?usp=sharing"",""แผน!EL80"")"),1)</f>
        <v>1</v>
      </c>
      <c r="J346" s="424">
        <f ca="1">IFERROR(__xludf.DUMMYFUNCTION("IMPORTRANGE(""https://docs.google.com/spreadsheets/d/1awYsYK3VOup2i3Pq_Yjnu8DRu_mYwSBnCR2QPthd0rU/edit?usp=sharing"",""ศูนย์รวม!E80"")"),3)</f>
        <v>3</v>
      </c>
      <c r="K346" s="425">
        <f ca="1">IF(I346&gt;0,J346*100/I346,0)</f>
        <v>300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IFERROR(__xludf.DUMMYFUNCTION("IMPORTRANGE(""https://docs.google.com/spreadsheets/d/1awYsYK3VOup2i3Pq_Yjnu8DRu_mYwSBnCR2QPthd0rU/edit?usp=sharing"",""ศูนย์ยกเว้นโฉนด!F80"")"),0)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IFERROR(__xludf.DUMMYFUNCTION("IMPORTRANGE(""https://docs.google.com/spreadsheets/d/1awYsYK3VOup2i3Pq_Yjnu8DRu_mYwSBnCR2QPthd0rU/edit?usp=sharing"",""ศูนย์ยกเว้นโฉนด!G80"")"),0)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IFERROR(__xludf.DUMMYFUNCTION("IMPORTRANGE(""https://docs.google.com/spreadsheets/d/1awYsYK3VOup2i3Pq_Yjnu8DRu_mYwSBnCR2QPthd0rU/edit?usp=sharing"",""ศูนย์ยกเว้นโฉนด!H80"")"),0)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144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IFERROR(__xludf.DUMMYFUNCTION("IMPORTRANGE(""https://docs.google.com/spreadsheets/d/1awYsYK3VOup2i3Pq_Yjnu8DRu_mYwSBnCR2QPthd0rU/edit?usp=sharing"",""โฉนดM3!G80"")"),33)</f>
        <v>33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IFERROR(__xludf.DUMMYFUNCTION("IMPORTRANGE(""https://docs.google.com/spreadsheets/d/1awYsYK3VOup2i3Pq_Yjnu8DRu_mYwSBnCR2QPthd0rU/edit?usp=sharing"",""โฉนดM3!H80"")"),111)</f>
        <v>111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535170</v>
      </c>
      <c r="M356" s="550">
        <f ca="1">M357+M358</f>
        <v>396970</v>
      </c>
      <c r="N356" s="550">
        <f ca="1">N357+N358</f>
        <v>116006.64</v>
      </c>
      <c r="O356" s="550">
        <f ca="1">IF(L356&gt;0,N356*100/L356,0)</f>
        <v>21.676596221761308</v>
      </c>
      <c r="P356" s="550">
        <f ca="1">IF(M356&gt;0,N356*100/M356,0)</f>
        <v>29.22302440990503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535170</v>
      </c>
      <c r="M358" s="425">
        <f ca="1">M361+M364</f>
        <v>396970</v>
      </c>
      <c r="N358" s="425">
        <f ca="1">N361+N364</f>
        <v>116006.64</v>
      </c>
      <c r="O358" s="425">
        <f ca="1">IF(L358&gt;0,N358*100/L358,0)</f>
        <v>21.676596221761308</v>
      </c>
      <c r="P358" s="425">
        <f ca="1">IF(M358&gt;0,N358*100/M358,0)</f>
        <v>29.22302440990503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535170</v>
      </c>
      <c r="M359" s="425">
        <f ca="1">M360+M361</f>
        <v>396970</v>
      </c>
      <c r="N359" s="425">
        <f ca="1">N360+N361</f>
        <v>116006.64</v>
      </c>
      <c r="O359" s="425">
        <f ca="1">IF(L359&gt;0,N359*100/L359,0)</f>
        <v>21.676596221761308</v>
      </c>
      <c r="P359" s="425">
        <f ca="1">IF(M359&gt;0,N359*100/M359,0)</f>
        <v>29.22302440990503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IFERROR(__xludf.DUMMYFUNCTION("IMPORTRANGE(""https://docs.google.com/spreadsheets/d/1-uDff_7J0KD5mKrp0Vvzr7lt3OU09vwQwhkpOPPYv2Y/edit?usp=sharing"",""งบพรบ!FC80"")"),535170)</f>
        <v>535170</v>
      </c>
      <c r="M361" s="425">
        <f ca="1">IFERROR(__xludf.DUMMYFUNCTION("IMPORTRANGE(""https://docs.google.com/spreadsheets/d/1-uDff_7J0KD5mKrp0Vvzr7lt3OU09vwQwhkpOPPYv2Y/edit?usp=sharing"",""งบพรบ!FH80"")"),396970)</f>
        <v>396970</v>
      </c>
      <c r="N361" s="425">
        <f ca="1">IFERROR(__xludf.DUMMYFUNCTION("IMPORTRANGE(""https://docs.google.com/spreadsheets/d/1-uDff_7J0KD5mKrp0Vvzr7lt3OU09vwQwhkpOPPYv2Y/edit?usp=sharing"",""งบพรบ!FJ80"")"),116006.64)</f>
        <v>116006.64</v>
      </c>
      <c r="O361" s="425">
        <f ca="1">IF(L361&gt;0,N361*100/L361,0)</f>
        <v>21.676596221761308</v>
      </c>
      <c r="P361" s="425">
        <f ca="1">IF(M361&gt;0,N361*100/M361,0)</f>
        <v>29.22302440990503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IFERROR(__xludf.DUMMYFUNCTION("IMPORTRANGE(""https://docs.google.com/spreadsheets/d/1-uDff_7J0KD5mKrp0Vvzr7lt3OU09vwQwhkpOPPYv2Y/edit?usp=sharing"",""งบพรบ!FF80"")"),0)</f>
        <v>0</v>
      </c>
      <c r="M364" s="425">
        <f ca="1">IFERROR(__xludf.DUMMYFUNCTION("IMPORTRANGE(""https://docs.google.com/spreadsheets/d/1-uDff_7J0KD5mKrp0Vvzr7lt3OU09vwQwhkpOPPYv2Y/edit?usp=sharing"",""งบพรบ!FI80"")"),0)</f>
        <v>0</v>
      </c>
      <c r="N364" s="425">
        <f ca="1">IFERROR(__xludf.DUMMYFUNCTION("IMPORTRANGE(""https://docs.google.com/spreadsheets/d/1-uDff_7J0KD5mKrp0Vvzr7lt3OU09vwQwhkpOPPYv2Y/edit?usp=sharing"",""งบพรบ!FK80"")"),0)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25</v>
      </c>
      <c r="J365" s="438">
        <f ca="1">J371</f>
        <v>0</v>
      </c>
      <c r="K365" s="439">
        <f ca="1">IF(I365&gt;0,J365*100/I365,0)</f>
        <v>0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IFERROR(__xludf.DUMMYFUNCTION("IMPORTRANGE(""https://docs.google.com/spreadsheets/d/1tdoBKaGub7dwA3U6UFTqxio9LNnvDCQjHKmttSEBsFQ/edit?usp=sharing"",""จัดที่ดิน!AB80"")"),0)</f>
        <v>0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IFERROR(__xludf.DUMMYFUNCTION("IMPORTRANGE(""https://docs.google.com/spreadsheets/d/1eHaY18a8A9IcSdp1K8H6x8fbOy06t2VsZHhMHf-1x7Y/edit?usp=sharing"",""แผน!EW80"")"),230)</f>
        <v>230</v>
      </c>
      <c r="J368" s="528">
        <f ca="1">IFERROR(__xludf.DUMMYFUNCTION("IMPORTRANGE(""https://docs.google.com/spreadsheets/d/1tdoBKaGub7dwA3U6UFTqxio9LNnvDCQjHKmttSEBsFQ/edit?usp=sharing"",""จัดที่ดิน!AC80"")"),0)</f>
        <v>0</v>
      </c>
      <c r="K368" s="425">
        <f ca="1">IF(I368&gt;0,J368*100/I368,0)</f>
        <v>0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IFERROR(__xludf.DUMMYFUNCTION("IMPORTRANGE(""https://docs.google.com/spreadsheets/d/1eHaY18a8A9IcSdp1K8H6x8fbOy06t2VsZHhMHf-1x7Y/edit?usp=sharing"",""แผน!EX80"")"),32)</f>
        <v>32</v>
      </c>
      <c r="J369" s="424">
        <f ca="1">IFERROR(__xludf.DUMMYFUNCTION("IMPORTRANGE(""https://docs.google.com/spreadsheets/d/1tdoBKaGub7dwA3U6UFTqxio9LNnvDCQjHKmttSEBsFQ/edit?usp=sharing"",""จัดที่ดิน!AD80"")"),0)</f>
        <v>0</v>
      </c>
      <c r="K369" s="425">
        <f ca="1">IF(I369&gt;0,J369*100/I369,0)</f>
        <v>0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IFERROR(__xludf.DUMMYFUNCTION("IMPORTRANGE(""https://docs.google.com/spreadsheets/d/1tdoBKaGub7dwA3U6UFTqxio9LNnvDCQjHKmttSEBsFQ/edit?usp=sharing"",""จัดที่ดิน!AE80"")"),0)</f>
        <v>0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IFERROR(__xludf.DUMMYFUNCTION("IMPORTRANGE(""https://docs.google.com/spreadsheets/d/1eHaY18a8A9IcSdp1K8H6x8fbOy06t2VsZHhMHf-1x7Y/edit?usp=sharing"",""แผน!EY80"")"),25)</f>
        <v>25</v>
      </c>
      <c r="J371" s="424">
        <f ca="1">IFERROR(__xludf.DUMMYFUNCTION("IMPORTRANGE(""https://docs.google.com/spreadsheets/d/1tdoBKaGub7dwA3U6UFTqxio9LNnvDCQjHKmttSEBsFQ/edit?usp=sharing"",""จัดที่ดิน!AF80"")"),0)</f>
        <v>0</v>
      </c>
      <c r="K371" s="425">
        <f ca="1">IF(I371&gt;0,J371*100/I371,0)</f>
        <v>0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IFERROR(__xludf.DUMMYFUNCTION("IMPORTRANGE(""https://docs.google.com/spreadsheets/d/1tdoBKaGub7dwA3U6UFTqxio9LNnvDCQjHKmttSEBsFQ/edit?usp=sharing"",""จัดที่ดิน!AG80"")"),0)</f>
        <v>0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IFERROR(__xludf.DUMMYFUNCTION("IMPORTRANGE(""https://docs.google.com/spreadsheets/d/1-uDff_7J0KD5mKrp0Vvzr7lt3OU09vwQwhkpOPPYv2Y/edit?usp=sharing"",""งบพรบ!FM80"")"),0)</f>
        <v>0</v>
      </c>
      <c r="M382" s="544">
        <f ca="1">IFERROR(__xludf.DUMMYFUNCTION("IMPORTRANGE(""https://docs.google.com/spreadsheets/d/1-uDff_7J0KD5mKrp0Vvzr7lt3OU09vwQwhkpOPPYv2Y/edit?usp=sharing"",""งบพรบ!FR80"")"),0)</f>
        <v>0</v>
      </c>
      <c r="N382" s="544">
        <f ca="1">IFERROR(__xludf.DUMMYFUNCTION("IMPORTRANGE(""https://docs.google.com/spreadsheets/d/1-uDff_7J0KD5mKrp0Vvzr7lt3OU09vwQwhkpOPPYv2Y/edit?usp=sharing"",""งบพรบ!FT80"")"),0)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IFERROR(__xludf.DUMMYFUNCTION("IMPORTRANGE(""https://docs.google.com/spreadsheets/d/1-uDff_7J0KD5mKrp0Vvzr7lt3OU09vwQwhkpOPPYv2Y/edit?usp=sharing"",""งบพรบ!FP80"")"),0)</f>
        <v>0</v>
      </c>
      <c r="M385" s="544">
        <f ca="1">IFERROR(__xludf.DUMMYFUNCTION("IMPORTRANGE(""https://docs.google.com/spreadsheets/d/1-uDff_7J0KD5mKrp0Vvzr7lt3OU09vwQwhkpOPPYv2Y/edit?usp=sharing"",""งบพรบ!FS80"")"),0)</f>
        <v>0</v>
      </c>
      <c r="N385" s="544">
        <f ca="1">IFERROR(__xludf.DUMMYFUNCTION("IMPORTRANGE(""https://docs.google.com/spreadsheets/d/1-uDff_7J0KD5mKrp0Vvzr7lt3OU09vwQwhkpOPPYv2Y/edit?usp=sharing"",""งบพรบ!FU80"")"),0)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A4DD-09D7-4222-B064-54FD4D2BB2A2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167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1425746</v>
      </c>
      <c r="M18" s="709">
        <f ca="1">M19+M20</f>
        <v>1114720</v>
      </c>
      <c r="N18" s="709">
        <f ca="1">N19+N20</f>
        <v>548456.66</v>
      </c>
      <c r="O18" s="709">
        <f ca="1">IF(L18&gt;0,N18*100/L18,0)</f>
        <v>38.46804830593949</v>
      </c>
      <c r="P18" s="709">
        <f ca="1">IF(M18&gt;0,N18*100/M18,0)</f>
        <v>49.201293598392418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1425746</v>
      </c>
      <c r="M20" s="822">
        <f ca="1">M23+M26</f>
        <v>1114720</v>
      </c>
      <c r="N20" s="822">
        <f ca="1">N23+N26</f>
        <v>548456.66</v>
      </c>
      <c r="O20" s="822">
        <f ca="1">IF(L20&gt;0,N20*100/L20,0)</f>
        <v>38.46804830593949</v>
      </c>
      <c r="P20" s="822">
        <f ca="1">IF(M20&gt;0,N20*100/M20,0)</f>
        <v>49.201293598392418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1425746</v>
      </c>
      <c r="M21" s="425">
        <f ca="1">M22+M23</f>
        <v>1114720</v>
      </c>
      <c r="N21" s="425">
        <f ca="1">N22+N23</f>
        <v>548456.66</v>
      </c>
      <c r="O21" s="425">
        <f ca="1">IF(L21&gt;0,N21*100/L21,0)</f>
        <v>38.46804830593949</v>
      </c>
      <c r="P21" s="425">
        <f ca="1">IF(M21&gt;0,N21*100/M21,0)</f>
        <v>49.201293598392418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1425746</v>
      </c>
      <c r="M23" s="425">
        <f ca="1">M49+M64+M77+M99+M130+M144+M162+M191+M178+M271+M287+M308+M325+M338+M361+M382</f>
        <v>1114720</v>
      </c>
      <c r="N23" s="425">
        <f ca="1">N49+N64+N77+N99+N130+N144+N162+N191+N178+N271+N287+N308+N325+N338+N361+N382</f>
        <v>548456.66</v>
      </c>
      <c r="O23" s="425">
        <f ca="1">IF(L23&gt;0,N23*100/L23,0)</f>
        <v>38.46804830593949</v>
      </c>
      <c r="P23" s="425">
        <f ca="1">IF(M23&gt;0,N23*100/M23,0)</f>
        <v>49.201293598392418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1425746</v>
      </c>
      <c r="M40" s="814">
        <f ca="1">M44+M59+M72+M94+M125+M139+M157+M173+M186+M266+M282+M303+M320+M333+M356</f>
        <v>1114720</v>
      </c>
      <c r="N40" s="814">
        <f ca="1">N44+N59+N72+N94+N125+N139+N157+N173+N186+N266+N282+N303+N320+N333+N356</f>
        <v>548456.66</v>
      </c>
      <c r="O40" s="814">
        <f ca="1">IF(L40&gt;0,N40*100/L40,0)</f>
        <v>38.46804830593949</v>
      </c>
      <c r="P40" s="814">
        <f ca="1">IF(M40&gt;0,N40*100/M40,0)</f>
        <v>49.201293598392418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133266</v>
      </c>
      <c r="M44" s="799">
        <f ca="1">M45+M46</f>
        <v>139740</v>
      </c>
      <c r="N44" s="799">
        <f ca="1">N45+N46</f>
        <v>59570</v>
      </c>
      <c r="O44" s="799">
        <f ca="1">IF(L44&gt;0,N44*100/L44,0)</f>
        <v>44.700073537136255</v>
      </c>
      <c r="P44" s="799">
        <f ca="1">IF(M44&gt;0,N44*100/M44,0)</f>
        <v>42.62916845570345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133266</v>
      </c>
      <c r="M46" s="788">
        <f ca="1">M49+M52</f>
        <v>139740</v>
      </c>
      <c r="N46" s="788">
        <f ca="1">N49+N52</f>
        <v>59570</v>
      </c>
      <c r="O46" s="788">
        <f ca="1">IF(L46&gt;0,N46*100/L46,0)</f>
        <v>44.700073537136255</v>
      </c>
      <c r="P46" s="788">
        <f ca="1">IF(M46&gt;0,N46*100/M46,0)</f>
        <v>42.62916845570345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133266</v>
      </c>
      <c r="M47" s="425">
        <f ca="1">M48+M49</f>
        <v>139740</v>
      </c>
      <c r="N47" s="425">
        <f ca="1">N48+N49</f>
        <v>59570</v>
      </c>
      <c r="O47" s="425">
        <f ca="1">IF(L47&gt;0,N47*100/L47,0)</f>
        <v>44.700073537136255</v>
      </c>
      <c r="P47" s="425">
        <f ca="1">IF(M47&gt;0,N47*100/M47,0)</f>
        <v>42.62916845570345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IFERROR(__xludf.DUMMYFUNCTION("IMPORTRANGE(""https://docs.google.com/spreadsheets/d/1-uDff_7J0KD5mKrp0Vvzr7lt3OU09vwQwhkpOPPYv2Y/edit?usp=sharing"",""งบพรบ!P81"")"),133266)</f>
        <v>133266</v>
      </c>
      <c r="M49" s="425">
        <f ca="1">IFERROR(__xludf.DUMMYFUNCTION("IMPORTRANGE(""https://docs.google.com/spreadsheets/d/1-uDff_7J0KD5mKrp0Vvzr7lt3OU09vwQwhkpOPPYv2Y/edit?usp=sharing"",""งบพรบ!V81"")"),139740)</f>
        <v>139740</v>
      </c>
      <c r="N49" s="425">
        <f ca="1">IFERROR(__xludf.DUMMYFUNCTION("IMPORTRANGE(""https://docs.google.com/spreadsheets/d/1-uDff_7J0KD5mKrp0Vvzr7lt3OU09vwQwhkpOPPYv2Y/edit?usp=sharing"",""งบพรบ!Y81"")"),59570)</f>
        <v>59570</v>
      </c>
      <c r="O49" s="425">
        <f ca="1">IF(L49&gt;0,N49*100/L49,0)</f>
        <v>44.700073537136255</v>
      </c>
      <c r="P49" s="425">
        <f ca="1">IF(M49&gt;0,N49*100/M49,0)</f>
        <v>42.62916845570345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IFERROR(__xludf.DUMMYFUNCTION("IMPORTRANGE(""https://docs.google.com/spreadsheets/d/1-uDff_7J0KD5mKrp0Vvzr7lt3OU09vwQwhkpOPPYv2Y/edit?usp=sharing"",""งบพรบ!S81"")"),0)</f>
        <v>0</v>
      </c>
      <c r="M52" s="425">
        <f ca="1">IFERROR(__xludf.DUMMYFUNCTION("IMPORTRANGE(""https://docs.google.com/spreadsheets/d/1-uDff_7J0KD5mKrp0Vvzr7lt3OU09vwQwhkpOPPYv2Y/edit?usp=sharing"",""งบพรบ!W81"")"),0)</f>
        <v>0</v>
      </c>
      <c r="N52" s="425">
        <f ca="1">IFERROR(__xludf.DUMMYFUNCTION("IMPORTRANGE(""https://docs.google.com/spreadsheets/d/1-uDff_7J0KD5mKrp0Vvzr7lt3OU09vwQwhkpOPPYv2Y/edit?usp=sharing"",""งบพรบ!Z81"")"),0)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621300</v>
      </c>
      <c r="M59" s="768">
        <f ca="1">M60+M61</f>
        <v>468050</v>
      </c>
      <c r="N59" s="768">
        <f ca="1">N60+N61</f>
        <v>391541.49</v>
      </c>
      <c r="O59" s="768">
        <f ca="1">IF(L59&gt;0,N59*100/L59,0)</f>
        <v>63.019715113471754</v>
      </c>
      <c r="P59" s="768">
        <f ca="1">IF(M59&gt;0,N59*100/M59,0)</f>
        <v>83.653774169426342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621300</v>
      </c>
      <c r="M61" s="757">
        <f ca="1">M64+M67</f>
        <v>468050</v>
      </c>
      <c r="N61" s="757">
        <f ca="1">N64+N67</f>
        <v>391541.49</v>
      </c>
      <c r="O61" s="757">
        <f ca="1">IF(L61&gt;0,N61*100/L61,0)</f>
        <v>63.019715113471754</v>
      </c>
      <c r="P61" s="757">
        <f ca="1">IF(M61&gt;0,N61*100/M61,0)</f>
        <v>83.653774169426342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621300</v>
      </c>
      <c r="M62" s="425">
        <f ca="1">M63+M64</f>
        <v>468050</v>
      </c>
      <c r="N62" s="425">
        <f ca="1">N63+N64</f>
        <v>391541.49</v>
      </c>
      <c r="O62" s="425">
        <f ca="1">IF(L62&gt;0,N62*100/L62,0)</f>
        <v>63.019715113471754</v>
      </c>
      <c r="P62" s="425">
        <f ca="1">IF(M62&gt;0,N62*100/M62,0)</f>
        <v>83.653774169426342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IFERROR(__xludf.DUMMYFUNCTION("IMPORTRANGE(""https://docs.google.com/spreadsheets/d/1-uDff_7J0KD5mKrp0Vvzr7lt3OU09vwQwhkpOPPYv2Y/edit?usp=sharing"",""งบพรบ!AC81"")"),621300)</f>
        <v>621300</v>
      </c>
      <c r="M64" s="425">
        <f ca="1">IFERROR(__xludf.DUMMYFUNCTION("IMPORTRANGE(""https://docs.google.com/spreadsheets/d/1-uDff_7J0KD5mKrp0Vvzr7lt3OU09vwQwhkpOPPYv2Y/edit?usp=sharing"",""งบพรบ!AH81"")"),468050)</f>
        <v>468050</v>
      </c>
      <c r="N64" s="425">
        <f ca="1">IFERROR(__xludf.DUMMYFUNCTION("IMPORTRANGE(""https://docs.google.com/spreadsheets/d/1-uDff_7J0KD5mKrp0Vvzr7lt3OU09vwQwhkpOPPYv2Y/edit?usp=sharing"",""งบพรบ!AJ81"")"),391541.49)</f>
        <v>391541.49</v>
      </c>
      <c r="O64" s="425">
        <f ca="1">IF(L64&gt;0,N64*100/L64,0)</f>
        <v>63.019715113471754</v>
      </c>
      <c r="P64" s="425">
        <f ca="1">IF(M64&gt;0,N64*100/M64,0)</f>
        <v>83.653774169426342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IFERROR(__xludf.DUMMYFUNCTION("IMPORTRANGE(""https://docs.google.com/spreadsheets/d/1-uDff_7J0KD5mKrp0Vvzr7lt3OU09vwQwhkpOPPYv2Y/edit?usp=sharing"",""งบพรบ!AF81"")"),0)</f>
        <v>0</v>
      </c>
      <c r="M67" s="752">
        <f ca="1">IFERROR(__xludf.DUMMYFUNCTION("IMPORTRANGE(""https://docs.google.com/spreadsheets/d/1-uDff_7J0KD5mKrp0Vvzr7lt3OU09vwQwhkpOPPYv2Y/edit?usp=sharing"",""งบพรบ!AI81"")"),0)</f>
        <v>0</v>
      </c>
      <c r="N67" s="752">
        <f ca="1">IFERROR(__xludf.DUMMYFUNCTION("IMPORTRANGE(""https://docs.google.com/spreadsheets/d/1-uDff_7J0KD5mKrp0Vvzr7lt3OU09vwQwhkpOPPYv2Y/edit?usp=sharing"",""งบพรบ!AK81"")"),0)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hidden="1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IFERROR(__xludf.DUMMYFUNCTION("IMPORTRANGE(""https://docs.google.com/spreadsheets/d/1-uDff_7J0KD5mKrp0Vvzr7lt3OU09vwQwhkpOPPYv2Y/edit?usp=sharing"",""งบพรบ!AM81"")"),0)</f>
        <v>0</v>
      </c>
      <c r="M77" s="425">
        <f ca="1">IFERROR(__xludf.DUMMYFUNCTION("IMPORTRANGE(""https://docs.google.com/spreadsheets/d/1-uDff_7J0KD5mKrp0Vvzr7lt3OU09vwQwhkpOPPYv2Y/edit?usp=sharing"",""งบพรบ!AR81"")"),0)</f>
        <v>0</v>
      </c>
      <c r="N77" s="425">
        <f ca="1">IFERROR(__xludf.DUMMYFUNCTION("IMPORTRANGE(""https://docs.google.com/spreadsheets/d/1-uDff_7J0KD5mKrp0Vvzr7lt3OU09vwQwhkpOPPYv2Y/edit?usp=sharing"",""งบพรบ!AT81"")"),0)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IFERROR(__xludf.DUMMYFUNCTION("IMPORTRANGE(""https://docs.google.com/spreadsheets/d/1-uDff_7J0KD5mKrp0Vvzr7lt3OU09vwQwhkpOPPYv2Y/edit?usp=sharing"",""งบพรบ!AP81"")"),0)</f>
        <v>0</v>
      </c>
      <c r="M80" s="425">
        <f ca="1">IFERROR(__xludf.DUMMYFUNCTION("IMPORTRANGE(""https://docs.google.com/spreadsheets/d/1-uDff_7J0KD5mKrp0Vvzr7lt3OU09vwQwhkpOPPYv2Y/edit?usp=sharing"",""งบพรบ!AS81"")"),0)</f>
        <v>0</v>
      </c>
      <c r="N80" s="425">
        <f ca="1">IFERROR(__xludf.DUMMYFUNCTION("IMPORTRANGE(""https://docs.google.com/spreadsheets/d/1-uDff_7J0KD5mKrp0Vvzr7lt3OU09vwQwhkpOPPYv2Y/edit?usp=sharing"",""งบพรบ!AU81"")"),0)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IFERROR(__xludf.DUMMYFUNCTION("IMPORTRANGE(""https://docs.google.com/spreadsheets/d/1eHaY18a8A9IcSdp1K8H6x8fbOy06t2VsZHhMHf-1x7Y/edit?usp=sharing"",""แผน!H81"")"),0)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IFERROR(__xludf.DUMMYFUNCTION("IMPORTRANGE(""https://docs.google.com/spreadsheets/d/1eHaY18a8A9IcSdp1K8H6x8fbOy06t2VsZHhMHf-1x7Y/edit?usp=sharing"",""แผน!I81"")"),0)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IFERROR(__xludf.DUMMYFUNCTION("IMPORTRANGE(""https://docs.google.com/spreadsheets/d/1eHaY18a8A9IcSdp1K8H6x8fbOy06t2VsZHhMHf-1x7Y/edit?usp=sharing"",""แผน!F81"")"),0)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IFERROR(__xludf.DUMMYFUNCTION("IMPORTRANGE(""https://docs.google.com/spreadsheets/d/1eHaY18a8A9IcSdp1K8H6x8fbOy06t2VsZHhMHf-1x7Y/edit?usp=sharing"",""แผน!G81"")"),0)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IFERROR(__xludf.DUMMYFUNCTION("IMPORTRANGE(""https://docs.google.com/spreadsheets/d/1eHaY18a8A9IcSdp1K8H6x8fbOy06t2VsZHhMHf-1x7Y/edit?usp=sharing"",""แผน!D81"")"),0)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IFERROR(__xludf.DUMMYFUNCTION("IMPORTRANGE(""https://docs.google.com/spreadsheets/d/1eHaY18a8A9IcSdp1K8H6x8fbOy06t2VsZHhMHf-1x7Y/edit?usp=sharing"",""แผน!E81"")"),0)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IFERROR(__xludf.DUMMYFUNCTION("IMPORTRANGE(""https://docs.google.com/spreadsheets/d/1eHaY18a8A9IcSdp1K8H6x8fbOy06t2VsZHhMHf-1x7Y/edit?usp=sharing"",""แผน!J81"")"),0)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IFERROR(__xludf.DUMMYFUNCTION("IMPORTRANGE(""https://docs.google.com/spreadsheets/d/1-uDff_7J0KD5mKrp0Vvzr7lt3OU09vwQwhkpOPPYv2Y/edit?usp=sharing"",""งบพรบ!AW81"")"),0)</f>
        <v>0</v>
      </c>
      <c r="M99" s="425">
        <f ca="1">IFERROR(__xludf.DUMMYFUNCTION("IMPORTRANGE(""https://docs.google.com/spreadsheets/d/1-uDff_7J0KD5mKrp0Vvzr7lt3OU09vwQwhkpOPPYv2Y/edit?usp=sharing"",""งบพรบ!BB81"")"),0)</f>
        <v>0</v>
      </c>
      <c r="N99" s="425">
        <f ca="1">IFERROR(__xludf.DUMMYFUNCTION("IMPORTRANGE(""https://docs.google.com/spreadsheets/d/1-uDff_7J0KD5mKrp0Vvzr7lt3OU09vwQwhkpOPPYv2Y/edit?usp=sharing"",""งบพรบ!BD81"")"),0)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IFERROR(__xludf.DUMMYFUNCTION("IMPORTRANGE(""https://docs.google.com/spreadsheets/d/1-uDff_7J0KD5mKrp0Vvzr7lt3OU09vwQwhkpOPPYv2Y/edit?usp=sharing"",""งบพรบ!AZ81"")"),0)</f>
        <v>0</v>
      </c>
      <c r="M102" s="425">
        <f ca="1">IFERROR(__xludf.DUMMYFUNCTION("IMPORTRANGE(""https://docs.google.com/spreadsheets/d/1-uDff_7J0KD5mKrp0Vvzr7lt3OU09vwQwhkpOPPYv2Y/edit?usp=sharing"",""งบพรบ!BC81"")"),0)</f>
        <v>0</v>
      </c>
      <c r="N102" s="425">
        <f ca="1">IFERROR(__xludf.DUMMYFUNCTION("IMPORTRANGE(""https://docs.google.com/spreadsheets/d/1-uDff_7J0KD5mKrp0Vvzr7lt3OU09vwQwhkpOPPYv2Y/edit?usp=sharing"",""งบพรบ!BE81"")"),0)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IFERROR(__xludf.DUMMYFUNCTION("IMPORTRANGE(""https://docs.google.com/spreadsheets/d/1eHaY18a8A9IcSdp1K8H6x8fbOy06t2VsZHhMHf-1x7Y/edit?usp=sharing"",""แผน!N81"")"),0)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IFERROR(__xludf.DUMMYFUNCTION("IMPORTRANGE(""https://docs.google.com/spreadsheets/d/1eHaY18a8A9IcSdp1K8H6x8fbOy06t2VsZHhMHf-1x7Y/edit?usp=sharing"",""แผน!O81"")"),0)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IFERROR(__xludf.DUMMYFUNCTION("IMPORTRANGE(""https://docs.google.com/spreadsheets/d/1eHaY18a8A9IcSdp1K8H6x8fbOy06t2VsZHhMHf-1x7Y/edit?usp=sharing"",""แผน!R81"")"),0)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IFERROR(__xludf.DUMMYFUNCTION("IMPORTRANGE(""https://docs.google.com/spreadsheets/d/1-uDff_7J0KD5mKrp0Vvzr7lt3OU09vwQwhkpOPPYv2Y/edit?usp=sharing"",""งบพรบ!BG81"")"),0)</f>
        <v>0</v>
      </c>
      <c r="M130" s="728">
        <f ca="1">IFERROR(__xludf.DUMMYFUNCTION("IMPORTRANGE(""https://docs.google.com/spreadsheets/d/1-uDff_7J0KD5mKrp0Vvzr7lt3OU09vwQwhkpOPPYv2Y/edit?usp=sharing"",""งบพรบ!BL81"")"),0)</f>
        <v>0</v>
      </c>
      <c r="N130" s="728">
        <f ca="1">IFERROR(__xludf.DUMMYFUNCTION("IMPORTRANGE(""https://docs.google.com/spreadsheets/d/1-uDff_7J0KD5mKrp0Vvzr7lt3OU09vwQwhkpOPPYv2Y/edit?usp=sharing"",""งบพรบ!BN81"")"),0)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IFERROR(__xludf.DUMMYFUNCTION("IMPORTRANGE(""https://docs.google.com/spreadsheets/d/1-uDff_7J0KD5mKrp0Vvzr7lt3OU09vwQwhkpOPPYv2Y/edit?usp=sharing"",""งบพรบ!BJ81"")"),0)</f>
        <v>0</v>
      </c>
      <c r="M133" s="728">
        <f ca="1">IFERROR(__xludf.DUMMYFUNCTION("IMPORTRANGE(""https://docs.google.com/spreadsheets/d/1-uDff_7J0KD5mKrp0Vvzr7lt3OU09vwQwhkpOPPYv2Y/edit?usp=sharing"",""งบพรบ!BM81"")"),0)</f>
        <v>0</v>
      </c>
      <c r="N133" s="728">
        <f ca="1">IFERROR(__xludf.DUMMYFUNCTION("IMPORTRANGE(""https://docs.google.com/spreadsheets/d/1-uDff_7J0KD5mKrp0Vvzr7lt3OU09vwQwhkpOPPYv2Y/edit?usp=sharing"",""งบพรบ!BO81"")"),0)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hidden="1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hidden="1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hidden="1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hidden="1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hidden="1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0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hidden="1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0</v>
      </c>
      <c r="M139" s="550">
        <f ca="1">M140+M141</f>
        <v>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hidden="1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hidden="1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IFERROR(__xludf.DUMMYFUNCTION("IMPORTRANGE(""https://docs.google.com/spreadsheets/d/1-uDff_7J0KD5mKrp0Vvzr7lt3OU09vwQwhkpOPPYv2Y/edit?usp=sharing"",""งบพรบ!BQ81"")"),0)</f>
        <v>0</v>
      </c>
      <c r="M144" s="425">
        <f ca="1">IFERROR(__xludf.DUMMYFUNCTION("IMPORTRANGE(""https://docs.google.com/spreadsheets/d/1-uDff_7J0KD5mKrp0Vvzr7lt3OU09vwQwhkpOPPYv2Y/edit?usp=sharing"",""งบพรบ!BV81"")"),0)</f>
        <v>0</v>
      </c>
      <c r="N144" s="425">
        <f ca="1">IFERROR(__xludf.DUMMYFUNCTION("IMPORTRANGE(""https://docs.google.com/spreadsheets/d/1-uDff_7J0KD5mKrp0Vvzr7lt3OU09vwQwhkpOPPYv2Y/edit?usp=sharing"",""งบพรบ!BX81"")"),0)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hidden="1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IFERROR(__xludf.DUMMYFUNCTION("IMPORTRANGE(""https://docs.google.com/spreadsheets/d/1-uDff_7J0KD5mKrp0Vvzr7lt3OU09vwQwhkpOPPYv2Y/edit?usp=sharing"",""งบพรบ!BT81"")"),0)</f>
        <v>0</v>
      </c>
      <c r="M147" s="425">
        <f ca="1">IFERROR(__xludf.DUMMYFUNCTION("IMPORTRANGE(""https://docs.google.com/spreadsheets/d/1-uDff_7J0KD5mKrp0Vvzr7lt3OU09vwQwhkpOPPYv2Y/edit?usp=sharing"",""งบพรบ!BW81"")"),0)</f>
        <v>0</v>
      </c>
      <c r="N147" s="425">
        <f ca="1">IFERROR(__xludf.DUMMYFUNCTION("IMPORTRANGE(""https://docs.google.com/spreadsheets/d/1-uDff_7J0KD5mKrp0Vvzr7lt3OU09vwQwhkpOPPYv2Y/edit?usp=sharing"",""งบพรบ!BY81"")"),0)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IFERROR(__xludf.DUMMYFUNCTION("IMPORTRANGE(""https://docs.google.com/spreadsheets/d/1eHaY18a8A9IcSdp1K8H6x8fbOy06t2VsZHhMHf-1x7Y/edit?usp=sharing"",""แผน!U81"")"),0)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IFERROR(__xludf.DUMMYFUNCTION("IMPORTRANGE(""https://docs.google.com/spreadsheets/d/1eHaY18a8A9IcSdp1K8H6x8fbOy06t2VsZHhMHf-1x7Y/edit?usp=sharing"",""แผน!V81"")"),0)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IFERROR(__xludf.DUMMYFUNCTION("IMPORTRANGE(""https://docs.google.com/spreadsheets/d/1eHaY18a8A9IcSdp1K8H6x8fbOy06t2VsZHhMHf-1x7Y/edit?usp=sharing"",""แผน!W81"")"),0)</f>
        <v>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IFERROR(__xludf.DUMMYFUNCTION("IMPORTRANGE(""https://docs.google.com/spreadsheets/d/1eHaY18a8A9IcSdp1K8H6x8fbOy06t2VsZHhMHf-1x7Y/edit?usp=sharing"",""แผน!X81"")"),0)</f>
        <v>0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IFERROR(__xludf.DUMMYFUNCTION("IMPORTRANGE(""https://docs.google.com/spreadsheets/d/1eHaY18a8A9IcSdp1K8H6x8fbOy06t2VsZHhMHf-1x7Y/edit?usp=sharing"",""แผน!Y81"")"),0)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IFERROR(__xludf.DUMMYFUNCTION("IMPORTRANGE(""https://docs.google.com/spreadsheets/d/1-uDff_7J0KD5mKrp0Vvzr7lt3OU09vwQwhkpOPPYv2Y/edit?usp=sharing"",""งบพรบ!CA81"")"),0)</f>
        <v>0</v>
      </c>
      <c r="M162" s="425">
        <f ca="1">IFERROR(__xludf.DUMMYFUNCTION("IMPORTRANGE(""https://docs.google.com/spreadsheets/d/1-uDff_7J0KD5mKrp0Vvzr7lt3OU09vwQwhkpOPPYv2Y/edit?usp=sharing"",""งบพรบ!CF81"")"),0)</f>
        <v>0</v>
      </c>
      <c r="N162" s="425">
        <f ca="1">IFERROR(__xludf.DUMMYFUNCTION("IMPORTRANGE(""https://docs.google.com/spreadsheets/d/1-uDff_7J0KD5mKrp0Vvzr7lt3OU09vwQwhkpOPPYv2Y/edit?usp=sharing"",""งบพรบ!CH81"")"),0)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IFERROR(__xludf.DUMMYFUNCTION("IMPORTRANGE(""https://docs.google.com/spreadsheets/d/1-uDff_7J0KD5mKrp0Vvzr7lt3OU09vwQwhkpOPPYv2Y/edit?usp=sharing"",""งบพรบ!CD81"")"),0)</f>
        <v>0</v>
      </c>
      <c r="M165" s="425">
        <f ca="1">IFERROR(__xludf.DUMMYFUNCTION("IMPORTRANGE(""https://docs.google.com/spreadsheets/d/1-uDff_7J0KD5mKrp0Vvzr7lt3OU09vwQwhkpOPPYv2Y/edit?usp=sharing"",""งบพรบ!CG81"")"),0)</f>
        <v>0</v>
      </c>
      <c r="N165" s="425">
        <f ca="1">IFERROR(__xludf.DUMMYFUNCTION("IMPORTRANGE(""https://docs.google.com/spreadsheets/d/1-uDff_7J0KD5mKrp0Vvzr7lt3OU09vwQwhkpOPPYv2Y/edit?usp=sharing"",""งบพรบ!CI81"")"),0)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IFERROR(__xludf.DUMMYFUNCTION("IMPORTRANGE(""https://docs.google.com/spreadsheets/d/1eHaY18a8A9IcSdp1K8H6x8fbOy06t2VsZHhMHf-1x7Y/edit?usp=sharing"",""แผน!Z81"")"),0)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IFERROR(__xludf.DUMMYFUNCTION("IMPORTRANGE(""https://docs.google.com/spreadsheets/d/1eHaY18a8A9IcSdp1K8H6x8fbOy06t2VsZHhMHf-1x7Y/edit?usp=sharing"",""แผน!Z81"")"),0)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IFERROR(__xludf.DUMMYFUNCTION("IMPORTRANGE(""https://docs.google.com/spreadsheets/d/1eHaY18a8A9IcSdp1K8H6x8fbOy06t2VsZHhMHf-1x7Y/edit?usp=sharing"",""แผน!Z81"")"),0)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0</v>
      </c>
      <c r="O173" s="550">
        <f ca="1">IF(L173&gt;0,N173*100/L173,0)</f>
        <v>0</v>
      </c>
      <c r="P173" s="550">
        <f ca="1">IF(M173&gt;0,N173*100/M173,0)</f>
        <v>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IFERROR(__xludf.DUMMYFUNCTION("IMPORTRANGE(""https://docs.google.com/spreadsheets/d/1-uDff_7J0KD5mKrp0Vvzr7lt3OU09vwQwhkpOPPYv2Y/edit?usp=sharing"",""งบพรบ!CK81"")"),19590)</f>
        <v>19590</v>
      </c>
      <c r="M178" s="425">
        <f ca="1">IFERROR(__xludf.DUMMYFUNCTION("IMPORTRANGE(""https://docs.google.com/spreadsheets/d/1-uDff_7J0KD5mKrp0Vvzr7lt3OU09vwQwhkpOPPYv2Y/edit?usp=sharing"",""งบพรบ!CP81"")"),19590)</f>
        <v>19590</v>
      </c>
      <c r="N178" s="425">
        <f ca="1">IFERROR(__xludf.DUMMYFUNCTION("IMPORTRANGE(""https://docs.google.com/spreadsheets/d/1-uDff_7J0KD5mKrp0Vvzr7lt3OU09vwQwhkpOPPYv2Y/edit?usp=sharing"",""งบพรบ!CR81"")"),0)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IFERROR(__xludf.DUMMYFUNCTION("IMPORTRANGE(""https://docs.google.com/spreadsheets/d/1-uDff_7J0KD5mKrp0Vvzr7lt3OU09vwQwhkpOPPYv2Y/edit?usp=sharing"",""งบพรบ!CN81"")"),0)</f>
        <v>0</v>
      </c>
      <c r="M181" s="425">
        <f ca="1">IFERROR(__xludf.DUMMYFUNCTION("IMPORTRANGE(""https://docs.google.com/spreadsheets/d/1-uDff_7J0KD5mKrp0Vvzr7lt3OU09vwQwhkpOPPYv2Y/edit?usp=sharing"",""งบพรบ!CQ81"")"),0)</f>
        <v>0</v>
      </c>
      <c r="N181" s="425">
        <f ca="1">IFERROR(__xludf.DUMMYFUNCTION("IMPORTRANGE(""https://docs.google.com/spreadsheets/d/1-uDff_7J0KD5mKrp0Vvzr7lt3OU09vwQwhkpOPPYv2Y/edit?usp=sharing"",""งบพรบ!CS81"")"),0)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IFERROR(__xludf.DUMMYFUNCTION("IMPORTRANGE(""https://docs.google.com/spreadsheets/d/1eHaY18a8A9IcSdp1K8H6x8fbOy06t2VsZHhMHf-1x7Y/edit?usp=sharing"",""แผน!AA81"")"),7)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121500</v>
      </c>
      <c r="M186" s="550">
        <f ca="1">M187+M188</f>
        <v>81500</v>
      </c>
      <c r="N186" s="550">
        <f ca="1">N187+N188</f>
        <v>39938.5</v>
      </c>
      <c r="O186" s="550">
        <f ca="1">IF(L186&gt;0,N186*100/L186,0)</f>
        <v>32.871193415637862</v>
      </c>
      <c r="P186" s="550">
        <f ca="1">IF(M186&gt;0,N186*100/M186,0)</f>
        <v>49.004294478527605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121500</v>
      </c>
      <c r="M188" s="425">
        <f ca="1">M191+M194</f>
        <v>81500</v>
      </c>
      <c r="N188" s="425">
        <f ca="1">N191+N194</f>
        <v>39938.5</v>
      </c>
      <c r="O188" s="425">
        <f ca="1">IF(L188&gt;0,N188*100/L188,0)</f>
        <v>32.871193415637862</v>
      </c>
      <c r="P188" s="425">
        <f ca="1">IF(M188&gt;0,N188*100/M188,0)</f>
        <v>49.004294478527605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121500</v>
      </c>
      <c r="M189" s="425">
        <f ca="1">M190+M191</f>
        <v>81500</v>
      </c>
      <c r="N189" s="425">
        <f ca="1">N190+N191</f>
        <v>39938.5</v>
      </c>
      <c r="O189" s="425">
        <f ca="1">IF(L189&gt;0,N189*100/L189,0)</f>
        <v>32.871193415637862</v>
      </c>
      <c r="P189" s="425">
        <f ca="1">IF(M189&gt;0,N189*100/M189,0)</f>
        <v>49.004294478527605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IFERROR(__xludf.DUMMYFUNCTION("IMPORTRANGE(""https://docs.google.com/spreadsheets/d/1-uDff_7J0KD5mKrp0Vvzr7lt3OU09vwQwhkpOPPYv2Y/edit?usp=sharing"",""งบพรบ!CU81"")"),121500)</f>
        <v>121500</v>
      </c>
      <c r="M191" s="425">
        <f ca="1">IFERROR(__xludf.DUMMYFUNCTION("IMPORTRANGE(""https://docs.google.com/spreadsheets/d/1-uDff_7J0KD5mKrp0Vvzr7lt3OU09vwQwhkpOPPYv2Y/edit?usp=sharing"",""งบพรบ!CZ81"")"),81500)</f>
        <v>81500</v>
      </c>
      <c r="N191" s="425">
        <f ca="1">IFERROR(__xludf.DUMMYFUNCTION("IMPORTRANGE(""https://docs.google.com/spreadsheets/d/1-uDff_7J0KD5mKrp0Vvzr7lt3OU09vwQwhkpOPPYv2Y/edit?usp=sharing"",""งบพรบ!DB81"")"),39938.5)</f>
        <v>39938.5</v>
      </c>
      <c r="O191" s="425">
        <f ca="1">IF(L191&gt;0,N191*100/L191,0)</f>
        <v>32.871193415637862</v>
      </c>
      <c r="P191" s="425">
        <f ca="1">IF(M191&gt;0,N191*100/M191,0)</f>
        <v>49.004294478527605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IFERROR(__xludf.DUMMYFUNCTION("IMPORTRANGE(""https://docs.google.com/spreadsheets/d/1-uDff_7J0KD5mKrp0Vvzr7lt3OU09vwQwhkpOPPYv2Y/edit?usp=sharing"",""งบพรบ!CX81"")"),0)</f>
        <v>0</v>
      </c>
      <c r="M194" s="425">
        <f ca="1">IFERROR(__xludf.DUMMYFUNCTION("IMPORTRANGE(""https://docs.google.com/spreadsheets/d/1-uDff_7J0KD5mKrp0Vvzr7lt3OU09vwQwhkpOPPYv2Y/edit?usp=sharing"",""งบพรบ!DA81"")"),0)</f>
        <v>0</v>
      </c>
      <c r="N194" s="425">
        <f ca="1">IFERROR(__xludf.DUMMYFUNCTION("IMPORTRANGE(""https://docs.google.com/spreadsheets/d/1-uDff_7J0KD5mKrp0Vvzr7lt3OU09vwQwhkpOPPYv2Y/edit?usp=sharing"",""งบพรบ!DC81"")"),0)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IFERROR(__xludf.DUMMYFUNCTION("IMPORTRANGE(""https://docs.google.com/spreadsheets/d/1eHaY18a8A9IcSdp1K8H6x8fbOy06t2VsZHhMHf-1x7Y/edit?usp=sharing"",""แผน!AB81"")"),6000)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IFERROR(__xludf.DUMMYFUNCTION("IMPORTRANGE(""https://docs.google.com/spreadsheets/d/1eHaY18a8A9IcSdp1K8H6x8fbOy06t2VsZHhMHf-1x7Y/edit?usp=sharing"",""แผน!AE81"")"),4)</f>
        <v>4</v>
      </c>
      <c r="J198" s="568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28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28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29000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IFERROR(__xludf.DUMMYFUNCTION("IMPORTRANGE(""https://docs.google.com/spreadsheets/d/1eHaY18a8A9IcSdp1K8H6x8fbOy06t2VsZHhMHf-1x7Y/edit?usp=sharing"",""แผน!AG81"")"),2000)</f>
        <v>2000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IFERROR(__xludf.DUMMYFUNCTION("IMPORTRANGE(""https://docs.google.com/spreadsheets/d/1eHaY18a8A9IcSdp1K8H6x8fbOy06t2VsZHhMHf-1x7Y/edit?usp=sharing"",""แผน!AH81"")"),0)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IFERROR(__xludf.DUMMYFUNCTION("IMPORTRANGE(""https://docs.google.com/spreadsheets/d/1eHaY18a8A9IcSdp1K8H6x8fbOy06t2VsZHhMHf-1x7Y/edit?usp=sharing"",""แผน!AI81"")"),16000)</f>
        <v>16000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IFERROR(__xludf.DUMMYFUNCTION("IMPORTRANGE(""https://docs.google.com/spreadsheets/d/1eHaY18a8A9IcSdp1K8H6x8fbOy06t2VsZHhMHf-1x7Y/edit?usp=sharing"",""แผน!AJ81"")"),11000)</f>
        <v>11000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IFERROR(__xludf.DUMMYFUNCTION("IMPORTRANGE(""https://docs.google.com/spreadsheets/d/1eHaY18a8A9IcSdp1K8H6x8fbOy06t2VsZHhMHf-1x7Y/edit?usp=sharing"",""แผน!AK81"")"),2)</f>
        <v>2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IFERROR(__xludf.DUMMYFUNCTION("IMPORTRANGE(""https://docs.google.com/spreadsheets/d/1eHaY18a8A9IcSdp1K8H6x8fbOy06t2VsZHhMHf-1x7Y/edit?usp=sharing"",""แผน!JX81"")"),2)</f>
        <v>2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IFERROR(__xludf.DUMMYFUNCTION("IMPORTRANGE(""https://docs.google.com/spreadsheets/d/1eHaY18a8A9IcSdp1K8H6x8fbOy06t2VsZHhMHf-1x7Y/edit?usp=sharing"",""แผน!JY81"")"),1)</f>
        <v>1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IFERROR(__xludf.DUMMYFUNCTION("IMPORTRANGE(""https://docs.google.com/spreadsheets/d/1eHaY18a8A9IcSdp1K8H6x8fbOy06t2VsZHhMHf-1x7Y/edit?usp=sharing"",""แผน!AM81"")"),0)</f>
        <v>0</v>
      </c>
      <c r="M215" s="428"/>
      <c r="N215" s="683">
        <v>0</v>
      </c>
      <c r="O215" s="527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IFERROR(__xludf.DUMMYFUNCTION("IMPORTRANGE(""https://docs.google.com/spreadsheets/d/1eHaY18a8A9IcSdp1K8H6x8fbOy06t2VsZHhMHf-1x7Y/edit?usp=sharing"",""แผน!AN81"")"),0)</f>
        <v>0</v>
      </c>
      <c r="M216" s="428"/>
      <c r="N216" s="683">
        <v>0</v>
      </c>
      <c r="O216" s="527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IFERROR(__xludf.DUMMYFUNCTION("IMPORTRANGE(""https://docs.google.com/spreadsheets/d/1eHaY18a8A9IcSdp1K8H6x8fbOy06t2VsZHhMHf-1x7Y/edit?usp=sharing"",""แผน!AO81"")"),0)</f>
        <v>0</v>
      </c>
      <c r="M217" s="428"/>
      <c r="N217" s="683">
        <v>0</v>
      </c>
      <c r="O217" s="527"/>
      <c r="P217" s="428"/>
    </row>
    <row r="218" spans="1:16" ht="19.5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IFERROR(__xludf.DUMMYFUNCTION("IMPORTRANGE(""https://docs.google.com/spreadsheets/d/1eHaY18a8A9IcSdp1K8H6x8fbOy06t2VsZHhMHf-1x7Y/edit?usp=sharing"",""แผน!AP81"")"),0)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IFERROR(__xludf.DUMMYFUNCTION("IMPORTRANGE(""https://docs.google.com/spreadsheets/d/1eHaY18a8A9IcSdp1K8H6x8fbOy06t2VsZHhMHf-1x7Y/edit?usp=sharing"",""แผน!AP81"")"),0)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20000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IFERROR(__xludf.DUMMYFUNCTION("IMPORTRANGE(""https://docs.google.com/spreadsheets/d/1eHaY18a8A9IcSdp1K8H6x8fbOy06t2VsZHhMHf-1x7Y/edit?usp=sharing"",""แผน!AR81"")"),3000)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IFERROR(__xludf.DUMMYFUNCTION("IMPORTRANGE(""https://docs.google.com/spreadsheets/d/1eHaY18a8A9IcSdp1K8H6x8fbOy06t2VsZHhMHf-1x7Y/edit?usp=sharing"",""แผน!AS81"")"),1500)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IFERROR(__xludf.DUMMYFUNCTION("IMPORTRANGE(""https://docs.google.com/spreadsheets/d/1eHaY18a8A9IcSdp1K8H6x8fbOy06t2VsZHhMHf-1x7Y/edit?usp=sharing"",""แผน!AT81"")"),0)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IFERROR(__xludf.DUMMYFUNCTION("IMPORTRANGE(""https://docs.google.com/spreadsheets/d/1eHaY18a8A9IcSdp1K8H6x8fbOy06t2VsZHhMHf-1x7Y/edit?usp=sharing"",""แผน!AV81"")"),20000)</f>
        <v>20000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IFERROR(__xludf.DUMMYFUNCTION("IMPORTRANGE(""https://docs.google.com/spreadsheets/d/1eHaY18a8A9IcSdp1K8H6x8fbOy06t2VsZHhMHf-1x7Y/edit?usp=sharing"",""แผน!AV81"")"),20000)</f>
        <v>20000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IFERROR(__xludf.DUMMYFUNCTION("IMPORTRANGE(""https://docs.google.com/spreadsheets/d/1eHaY18a8A9IcSdp1K8H6x8fbOy06t2VsZHhMHf-1x7Y/edit?usp=sharing"",""แผน!AU81"")"),0)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IFERROR(__xludf.DUMMYFUNCTION("IMPORTRANGE(""https://docs.google.com/spreadsheets/d/1eHaY18a8A9IcSdp1K8H6x8fbOy06t2VsZHhMHf-1x7Y/edit?usp=sharing"",""แผน!AX81"")"),0)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IFERROR(__xludf.DUMMYFUNCTION("IMPORTRANGE(""https://docs.google.com/spreadsheets/d/1eHaY18a8A9IcSdp1K8H6x8fbOy06t2VsZHhMHf-1x7Y/edit?usp=sharing"",""แผน!AY81"")"),0)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IFERROR(__xludf.DUMMYFUNCTION("IMPORTRANGE(""https://docs.google.com/spreadsheets/d/1eHaY18a8A9IcSdp1K8H6x8fbOy06t2VsZHhMHf-1x7Y/edit?usp=sharing"",""แผน!AZ81"")"),0)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IFERROR(__xludf.DUMMYFUNCTION("IMPORTRANGE(""https://docs.google.com/spreadsheets/d/1eHaY18a8A9IcSdp1K8H6x8fbOy06t2VsZHhMHf-1x7Y/edit?usp=sharing"",""แผน!BA81"")"),0)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IFERROR(__xludf.DUMMYFUNCTION("IMPORTRANGE(""https://docs.google.com/spreadsheets/d/1eHaY18a8A9IcSdp1K8H6x8fbOy06t2VsZHhMHf-1x7Y/edit?usp=sharing"",""แผน!BG81"")"),0)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IFERROR(__xludf.DUMMYFUNCTION("IMPORTRANGE(""https://docs.google.com/spreadsheets/d/1eHaY18a8A9IcSdp1K8H6x8fbOy06t2VsZHhMHf-1x7Y/edit?usp=sharing"",""แผน!BB81"")"),0)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IFERROR(__xludf.DUMMYFUNCTION("IMPORTRANGE(""https://docs.google.com/spreadsheets/d/1eHaY18a8A9IcSdp1K8H6x8fbOy06t2VsZHhMHf-1x7Y/edit?usp=sharing"",""แผน!BC81"")"),0)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IFERROR(__xludf.DUMMYFUNCTION("IMPORTRANGE(""https://docs.google.com/spreadsheets/d/1eHaY18a8A9IcSdp1K8H6x8fbOy06t2VsZHhMHf-1x7Y/edit?usp=sharing"",""แผน!BD81"")"),0)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IFERROR(__xludf.DUMMYFUNCTION("IMPORTRANGE(""https://docs.google.com/spreadsheets/d/1eHaY18a8A9IcSdp1K8H6x8fbOy06t2VsZHhMHf-1x7Y/edit?usp=sharing"",""แผน!BE81"")"),0)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IFERROR(__xludf.DUMMYFUNCTION("IMPORTRANGE(""https://docs.google.com/spreadsheets/d/1eHaY18a8A9IcSdp1K8H6x8fbOy06t2VsZHhMHf-1x7Y/edit?usp=sharing"",""แผน!BH81"")"),0)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IFERROR(__xludf.DUMMYFUNCTION("IMPORTRANGE(""https://docs.google.com/spreadsheets/d/1-uDff_7J0KD5mKrp0Vvzr7lt3OU09vwQwhkpOPPYv2Y/edit?usp=sharing"",""งบพรบ!DE81"")"),0)</f>
        <v>0</v>
      </c>
      <c r="M271" s="544">
        <f ca="1">IFERROR(__xludf.DUMMYFUNCTION("IMPORTRANGE(""https://docs.google.com/spreadsheets/d/1-uDff_7J0KD5mKrp0Vvzr7lt3OU09vwQwhkpOPPYv2Y/edit?usp=sharing"",""งบพรบ!DJ81"")"),0)</f>
        <v>0</v>
      </c>
      <c r="N271" s="544">
        <f ca="1">IFERROR(__xludf.DUMMYFUNCTION("IMPORTRANGE(""https://docs.google.com/spreadsheets/d/1-uDff_7J0KD5mKrp0Vvzr7lt3OU09vwQwhkpOPPYv2Y/edit?usp=sharing"",""งบพรบ!DL81"")"),0)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IFERROR(__xludf.DUMMYFUNCTION("IMPORTRANGE(""https://docs.google.com/spreadsheets/d/1-uDff_7J0KD5mKrp0Vvzr7lt3OU09vwQwhkpOPPYv2Y/edit?usp=sharing"",""งบพรบ!DH81"")"),0)</f>
        <v>0</v>
      </c>
      <c r="M274" s="544">
        <f ca="1">IFERROR(__xludf.DUMMYFUNCTION("IMPORTRANGE(""https://docs.google.com/spreadsheets/d/1-uDff_7J0KD5mKrp0Vvzr7lt3OU09vwQwhkpOPPYv2Y/edit?usp=sharing"",""งบพรบ!DK81"")"),0)</f>
        <v>0</v>
      </c>
      <c r="N274" s="544">
        <f ca="1">IFERROR(__xludf.DUMMYFUNCTION("IMPORTRANGE(""https://docs.google.com/spreadsheets/d/1-uDff_7J0KD5mKrp0Vvzr7lt3OU09vwQwhkpOPPYv2Y/edit?usp=sharing"",""งบพรบ!DM81"")"),0)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IFERROR(__xludf.DUMMYFUNCTION("IMPORTRANGE(""https://docs.google.com/spreadsheets/d/1-uDff_7J0KD5mKrp0Vvzr7lt3OU09vwQwhkpOPPYv2Y/edit?usp=sharing"",""งบพรบ!DO81"")"),0)</f>
        <v>0</v>
      </c>
      <c r="M287" s="425">
        <f ca="1">IFERROR(__xludf.DUMMYFUNCTION("IMPORTRANGE(""https://docs.google.com/spreadsheets/d/1-uDff_7J0KD5mKrp0Vvzr7lt3OU09vwQwhkpOPPYv2Y/edit?usp=sharing"",""งบพรบ!DT81"")"),0)</f>
        <v>0</v>
      </c>
      <c r="N287" s="425">
        <f ca="1">IFERROR(__xludf.DUMMYFUNCTION("IMPORTRANGE(""https://docs.google.com/spreadsheets/d/1-uDff_7J0KD5mKrp0Vvzr7lt3OU09vwQwhkpOPPYv2Y/edit?usp=sharing"",""งบพรบ!DV81"")"),0)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IFERROR(__xludf.DUMMYFUNCTION("IMPORTRANGE(""https://docs.google.com/spreadsheets/d/1-uDff_7J0KD5mKrp0Vvzr7lt3OU09vwQwhkpOPPYv2Y/edit?usp=sharing"",""งบพรบ!DR81"")"),0)</f>
        <v>0</v>
      </c>
      <c r="M290" s="425">
        <f ca="1">IFERROR(__xludf.DUMMYFUNCTION("IMPORTRANGE(""https://docs.google.com/spreadsheets/d/1-uDff_7J0KD5mKrp0Vvzr7lt3OU09vwQwhkpOPPYv2Y/edit?usp=sharing"",""งบพรบ!DU81"")"),0)</f>
        <v>0</v>
      </c>
      <c r="N290" s="425">
        <f ca="1">IFERROR(__xludf.DUMMYFUNCTION("IMPORTRANGE(""https://docs.google.com/spreadsheets/d/1-uDff_7J0KD5mKrp0Vvzr7lt3OU09vwQwhkpOPPYv2Y/edit?usp=sharing"",""งบพรบ!DW81"")"),0)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IFERROR(__xludf.DUMMYFUNCTION("IMPORTRANGE(""https://docs.google.com/spreadsheets/d/1eHaY18a8A9IcSdp1K8H6x8fbOy06t2VsZHhMHf-1x7Y/edit?usp=sharing"",""แผน!EE81"")"),0)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IFERROR(__xludf.DUMMYFUNCTION("IMPORTRANGE(""https://docs.google.com/spreadsheets/d/1eHaY18a8A9IcSdp1K8H6x8fbOy06t2VsZHhMHf-1x7Y/edit?usp=sharing"",""แผน!ED81"")"),0)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IFERROR(__xludf.DUMMYFUNCTION("IMPORTRANGE(""https://docs.google.com/spreadsheets/d/1eHaY18a8A9IcSdp1K8H6x8fbOy06t2VsZHhMHf-1x7Y/edit?usp=sharing"",""แผน!ED81"")"),0)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IFERROR(__xludf.DUMMYFUNCTION("IMPORTRANGE(""https://docs.google.com/spreadsheets/d/1eHaY18a8A9IcSdp1K8H6x8fbOy06t2VsZHhMHf-1x7Y/edit?usp=sharing"",""แผน!ED81"")"),0)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IFERROR(__xludf.DUMMYFUNCTION("IMPORTRANGE(""https://docs.google.com/spreadsheets/d/1-uDff_7J0KD5mKrp0Vvzr7lt3OU09vwQwhkpOPPYv2Y/edit?usp=sharing"",""งบพรบ!DY81"")"),0)</f>
        <v>0</v>
      </c>
      <c r="M308" s="425">
        <f ca="1">IFERROR(__xludf.DUMMYFUNCTION("IMPORTRANGE(""https://docs.google.com/spreadsheets/d/1-uDff_7J0KD5mKrp0Vvzr7lt3OU09vwQwhkpOPPYv2Y/edit?usp=sharing"",""งบพรบ!ED81"")"),0)</f>
        <v>0</v>
      </c>
      <c r="N308" s="425">
        <f ca="1">IFERROR(__xludf.DUMMYFUNCTION("IMPORTRANGE(""https://docs.google.com/spreadsheets/d/1-uDff_7J0KD5mKrp0Vvzr7lt3OU09vwQwhkpOPPYv2Y/edit?usp=sharing"",""งบพรบ!EF81"")"),0)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IFERROR(__xludf.DUMMYFUNCTION("IMPORTRANGE(""https://docs.google.com/spreadsheets/d/1-uDff_7J0KD5mKrp0Vvzr7lt3OU09vwQwhkpOPPYv2Y/edit?usp=sharing"",""งบพรบ!EB81"")"),0)</f>
        <v>0</v>
      </c>
      <c r="M311" s="425">
        <f ca="1">IFERROR(__xludf.DUMMYFUNCTION("IMPORTRANGE(""https://docs.google.com/spreadsheets/d/1-uDff_7J0KD5mKrp0Vvzr7lt3OU09vwQwhkpOPPYv2Y/edit?usp=sharing"",""งบพรบ!EE81"")"),0)</f>
        <v>0</v>
      </c>
      <c r="N311" s="425">
        <f ca="1">IFERROR(__xludf.DUMMYFUNCTION("IMPORTRANGE(""https://docs.google.com/spreadsheets/d/1-uDff_7J0KD5mKrp0Vvzr7lt3OU09vwQwhkpOPPYv2Y/edit?usp=sharing"",""งบพรบ!EG81"")"),0)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IFERROR(__xludf.DUMMYFUNCTION("IMPORTRANGE(""https://docs.google.com/spreadsheets/d/1eHaY18a8A9IcSdp1K8H6x8fbOy06t2VsZHhMHf-1x7Y/edit?usp=sharing"",""แผน!EF81"")"),0)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IFERROR(__xludf.DUMMYFUNCTION("IMPORTRANGE(""https://docs.google.com/spreadsheets/d/1eHaY18a8A9IcSdp1K8H6x8fbOy06t2VsZHhMHf-1x7Y/edit?usp=sharing"",""แผน!EG81"")"),0)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IFERROR(__xludf.DUMMYFUNCTION("IMPORTRANGE(""https://docs.google.com/spreadsheets/d/1eHaY18a8A9IcSdp1K8H6x8fbOy06t2VsZHhMHf-1x7Y/edit?usp=sharing"",""แผน!EH81"")"),0)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IFERROR(__xludf.DUMMYFUNCTION("IMPORTRANGE(""https://docs.google.com/spreadsheets/d/1eHaY18a8A9IcSdp1K8H6x8fbOy06t2VsZHhMHf-1x7Y/edit?usp=sharing"",""แผน!EI81"")"),0)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IFERROR(__xludf.DUMMYFUNCTION("IMPORTRANGE(""https://docs.google.com/spreadsheets/d/1-uDff_7J0KD5mKrp0Vvzr7lt3OU09vwQwhkpOPPYv2Y/edit?usp=sharing"",""งบพรบ!EI81"")"),0)</f>
        <v>0</v>
      </c>
      <c r="M325" s="425">
        <f ca="1">IFERROR(__xludf.DUMMYFUNCTION("IMPORTRANGE(""https://docs.google.com/spreadsheets/d/1-uDff_7J0KD5mKrp0Vvzr7lt3OU09vwQwhkpOPPYv2Y/edit?usp=sharing"",""งบพรบ!EN81"")"),0)</f>
        <v>0</v>
      </c>
      <c r="N325" s="425">
        <f ca="1">IFERROR(__xludf.DUMMYFUNCTION("IMPORTRANGE(""https://docs.google.com/spreadsheets/d/1-uDff_7J0KD5mKrp0Vvzr7lt3OU09vwQwhkpOPPYv2Y/edit?usp=sharing"",""งบพรบ!EP81"")"),0)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IFERROR(__xludf.DUMMYFUNCTION("IMPORTRANGE(""https://docs.google.com/spreadsheets/d/1-uDff_7J0KD5mKrp0Vvzr7lt3OU09vwQwhkpOPPYv2Y/edit?usp=sharing"",""งบพรบ!EL81"")"),0)</f>
        <v>0</v>
      </c>
      <c r="M328" s="425">
        <f ca="1">IFERROR(__xludf.DUMMYFUNCTION("IMPORTRANGE(""https://docs.google.com/spreadsheets/d/1-uDff_7J0KD5mKrp0Vvzr7lt3OU09vwQwhkpOPPYv2Y/edit?usp=sharing"",""งบพรบ!EO81"")"),0)</f>
        <v>0</v>
      </c>
      <c r="N328" s="425">
        <f ca="1">IFERROR(__xludf.DUMMYFUNCTION("IMPORTRANGE(""https://docs.google.com/spreadsheets/d/1-uDff_7J0KD5mKrp0Vvzr7lt3OU09vwQwhkpOPPYv2Y/edit?usp=sharing"",""งบพรบ!EQ81"")"),0)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IFERROR(__xludf.DUMMYFUNCTION("IMPORTRANGE(""https://docs.google.com/spreadsheets/d/1eHaY18a8A9IcSdp1K8H6x8fbOy06t2VsZHhMHf-1x7Y/edit?usp=sharing"",""แผน!EJ81"")"),0)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540</v>
      </c>
      <c r="J332" s="402">
        <f ca="1">J344+J347+J348+J349+J353</f>
        <v>556</v>
      </c>
      <c r="K332" s="403">
        <f ca="1">IF(I332&gt;0,J332*100/I332,0)</f>
        <v>102.96296296296296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103000</v>
      </c>
      <c r="M333" s="550">
        <f ca="1">M334+M335</f>
        <v>83350</v>
      </c>
      <c r="N333" s="550">
        <f ca="1">N334+N335</f>
        <v>6140</v>
      </c>
      <c r="O333" s="550">
        <f ca="1">IF(L333&gt;0,N333*100/L333,0)</f>
        <v>5.9611650485436893</v>
      </c>
      <c r="P333" s="550">
        <f ca="1">IF(M333&gt;0,N333*100/M333,0)</f>
        <v>7.3665266946610677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103000</v>
      </c>
      <c r="M335" s="425">
        <f ca="1">M338+M341</f>
        <v>83350</v>
      </c>
      <c r="N335" s="425">
        <f ca="1">N338+N341</f>
        <v>6140</v>
      </c>
      <c r="O335" s="425">
        <f ca="1">IF(L335&gt;0,N335*100/L335,0)</f>
        <v>5.9611650485436893</v>
      </c>
      <c r="P335" s="425">
        <f ca="1">IF(M335&gt;0,N335*100/M335,0)</f>
        <v>7.3665266946610677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103000</v>
      </c>
      <c r="M336" s="425">
        <f ca="1">M337+M338</f>
        <v>83350</v>
      </c>
      <c r="N336" s="425">
        <f ca="1">N337+N338</f>
        <v>6140</v>
      </c>
      <c r="O336" s="425">
        <f ca="1">IF(L336&gt;0,N336*100/L336,0)</f>
        <v>5.9611650485436893</v>
      </c>
      <c r="P336" s="425">
        <f ca="1">IF(M336&gt;0,N336*100/M336,0)</f>
        <v>7.3665266946610677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IFERROR(__xludf.DUMMYFUNCTION("IMPORTRANGE(""https://docs.google.com/spreadsheets/d/1-uDff_7J0KD5mKrp0Vvzr7lt3OU09vwQwhkpOPPYv2Y/edit?usp=sharing"",""งบพรบ!ES81"")"),103000)</f>
        <v>103000</v>
      </c>
      <c r="M338" s="425">
        <f ca="1">IFERROR(__xludf.DUMMYFUNCTION("IMPORTRANGE(""https://docs.google.com/spreadsheets/d/1-uDff_7J0KD5mKrp0Vvzr7lt3OU09vwQwhkpOPPYv2Y/edit?usp=sharing"",""งบพรบ!EX81"")"),83350)</f>
        <v>83350</v>
      </c>
      <c r="N338" s="425">
        <f ca="1">IFERROR(__xludf.DUMMYFUNCTION("IMPORTRANGE(""https://docs.google.com/spreadsheets/d/1-uDff_7J0KD5mKrp0Vvzr7lt3OU09vwQwhkpOPPYv2Y/edit?usp=sharing"",""งบพรบ!EZ81"")"),6140)</f>
        <v>6140</v>
      </c>
      <c r="O338" s="425">
        <f ca="1">IF(L338&gt;0,N338*100/L338,0)</f>
        <v>5.9611650485436893</v>
      </c>
      <c r="P338" s="425">
        <f ca="1">IF(M338&gt;0,N338*100/M338,0)</f>
        <v>7.3665266946610677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IFERROR(__xludf.DUMMYFUNCTION("IMPORTRANGE(""https://docs.google.com/spreadsheets/d/1-uDff_7J0KD5mKrp0Vvzr7lt3OU09vwQwhkpOPPYv2Y/edit?usp=sharing"",""งบพรบ!EV81"")"),0)</f>
        <v>0</v>
      </c>
      <c r="M341" s="425">
        <f ca="1">IFERROR(__xludf.DUMMYFUNCTION("IMPORTRANGE(""https://docs.google.com/spreadsheets/d/1-uDff_7J0KD5mKrp0Vvzr7lt3OU09vwQwhkpOPPYv2Y/edit?usp=sharing"",""งบพรบ!EY81"")"),0)</f>
        <v>0</v>
      </c>
      <c r="N341" s="425">
        <f ca="1">IFERROR(__xludf.DUMMYFUNCTION("IMPORTRANGE(""https://docs.google.com/spreadsheets/d/1-uDff_7J0KD5mKrp0Vvzr7lt3OU09vwQwhkpOPPYv2Y/edit?usp=sharing"",""งบพรบ!FA81"")"),0)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424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IFERROR(__xludf.DUMMYFUNCTION("IMPORTRANGE(""https://docs.google.com/spreadsheets/d/1eHaY18a8A9IcSdp1K8H6x8fbOy06t2VsZHhMHf-1x7Y/edit?usp=sharing"",""แผน!EK81"")"),540)</f>
        <v>540</v>
      </c>
      <c r="J344" s="424">
        <f ca="1">IFERROR(__xludf.DUMMYFUNCTION("IMPORTRANGE(""https://docs.google.com/spreadsheets/d/1awYsYK3VOup2i3Pq_Yjnu8DRu_mYwSBnCR2QPthd0rU/edit?usp=sharing"",""ศูนย์ยกเว้นโฉนด!D81"")"),416)</f>
        <v>416</v>
      </c>
      <c r="K344" s="425">
        <f ca="1">IF(I344&gt;0,J344*100/I344,0)</f>
        <v>77.037037037037038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IFERROR(__xludf.DUMMYFUNCTION("IMPORTRANGE(""https://docs.google.com/spreadsheets/d/1eHaY18a8A9IcSdp1K8H6x8fbOy06t2VsZHhMHf-1x7Y/edit?usp=sharing"",""แผน!EL81"")"),3)</f>
        <v>3</v>
      </c>
      <c r="J346" s="424">
        <f ca="1">IFERROR(__xludf.DUMMYFUNCTION("IMPORTRANGE(""https://docs.google.com/spreadsheets/d/1awYsYK3VOup2i3Pq_Yjnu8DRu_mYwSBnCR2QPthd0rU/edit?usp=sharing"",""ศูนย์รวม!E81"")"),2)</f>
        <v>2</v>
      </c>
      <c r="K346" s="425">
        <f ca="1">IF(I346&gt;0,J346*100/I346,0)</f>
        <v>66.666666666666671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IFERROR(__xludf.DUMMYFUNCTION("IMPORTRANGE(""https://docs.google.com/spreadsheets/d/1awYsYK3VOup2i3Pq_Yjnu8DRu_mYwSBnCR2QPthd0rU/edit?usp=sharing"",""ศูนย์ยกเว้นโฉนด!F81"")"),8)</f>
        <v>8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IFERROR(__xludf.DUMMYFUNCTION("IMPORTRANGE(""https://docs.google.com/spreadsheets/d/1awYsYK3VOup2i3Pq_Yjnu8DRu_mYwSBnCR2QPthd0rU/edit?usp=sharing"",""ศูนย์ยกเว้นโฉนด!G81"")"),0)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IFERROR(__xludf.DUMMYFUNCTION("IMPORTRANGE(""https://docs.google.com/spreadsheets/d/1awYsYK3VOup2i3Pq_Yjnu8DRu_mYwSBnCR2QPthd0rU/edit?usp=sharing"",""ศูนย์ยกเว้นโฉนด!H81"")"),0)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416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IFERROR(__xludf.DUMMYFUNCTION("IMPORTRANGE(""https://docs.google.com/spreadsheets/d/1awYsYK3VOup2i3Pq_Yjnu8DRu_mYwSBnCR2QPthd0rU/edit?usp=sharing"",""โฉนดM3!G81"")"),284)</f>
        <v>284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IFERROR(__xludf.DUMMYFUNCTION("IMPORTRANGE(""https://docs.google.com/spreadsheets/d/1awYsYK3VOup2i3Pq_Yjnu8DRu_mYwSBnCR2QPthd0rU/edit?usp=sharing"",""โฉนดM3!H81"")"),132)</f>
        <v>132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427090</v>
      </c>
      <c r="M356" s="550">
        <f ca="1">M357+M358</f>
        <v>322490</v>
      </c>
      <c r="N356" s="550">
        <f ca="1">N357+N358</f>
        <v>51266.67</v>
      </c>
      <c r="O356" s="550">
        <f ca="1">IF(L356&gt;0,N356*100/L356,0)</f>
        <v>12.003715844435598</v>
      </c>
      <c r="P356" s="550">
        <f ca="1">IF(M356&gt;0,N356*100/M356,0)</f>
        <v>15.89713479487736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427090</v>
      </c>
      <c r="M358" s="425">
        <f ca="1">M361+M364</f>
        <v>322490</v>
      </c>
      <c r="N358" s="425">
        <f ca="1">N361+N364</f>
        <v>51266.67</v>
      </c>
      <c r="O358" s="425">
        <f ca="1">IF(L358&gt;0,N358*100/L358,0)</f>
        <v>12.003715844435598</v>
      </c>
      <c r="P358" s="425">
        <f ca="1">IF(M358&gt;0,N358*100/M358,0)</f>
        <v>15.89713479487736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427090</v>
      </c>
      <c r="M359" s="425">
        <f ca="1">M360+M361</f>
        <v>322490</v>
      </c>
      <c r="N359" s="425">
        <f ca="1">N360+N361</f>
        <v>51266.67</v>
      </c>
      <c r="O359" s="425">
        <f ca="1">IF(L359&gt;0,N359*100/L359,0)</f>
        <v>12.003715844435598</v>
      </c>
      <c r="P359" s="425">
        <f ca="1">IF(M359&gt;0,N359*100/M359,0)</f>
        <v>15.89713479487736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IFERROR(__xludf.DUMMYFUNCTION("IMPORTRANGE(""https://docs.google.com/spreadsheets/d/1-uDff_7J0KD5mKrp0Vvzr7lt3OU09vwQwhkpOPPYv2Y/edit?usp=sharing"",""งบพรบ!FC81"")"),427090)</f>
        <v>427090</v>
      </c>
      <c r="M361" s="425">
        <f ca="1">IFERROR(__xludf.DUMMYFUNCTION("IMPORTRANGE(""https://docs.google.com/spreadsheets/d/1-uDff_7J0KD5mKrp0Vvzr7lt3OU09vwQwhkpOPPYv2Y/edit?usp=sharing"",""งบพรบ!FH81"")"),322490)</f>
        <v>322490</v>
      </c>
      <c r="N361" s="425">
        <f ca="1">IFERROR(__xludf.DUMMYFUNCTION("IMPORTRANGE(""https://docs.google.com/spreadsheets/d/1-uDff_7J0KD5mKrp0Vvzr7lt3OU09vwQwhkpOPPYv2Y/edit?usp=sharing"",""งบพรบ!FJ81"")"),51266.67)</f>
        <v>51266.67</v>
      </c>
      <c r="O361" s="425">
        <f ca="1">IF(L361&gt;0,N361*100/L361,0)</f>
        <v>12.003715844435598</v>
      </c>
      <c r="P361" s="425">
        <f ca="1">IF(M361&gt;0,N361*100/M361,0)</f>
        <v>15.89713479487736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IFERROR(__xludf.DUMMYFUNCTION("IMPORTRANGE(""https://docs.google.com/spreadsheets/d/1-uDff_7J0KD5mKrp0Vvzr7lt3OU09vwQwhkpOPPYv2Y/edit?usp=sharing"",""งบพรบ!FF81"")"),0)</f>
        <v>0</v>
      </c>
      <c r="M364" s="425">
        <f ca="1">IFERROR(__xludf.DUMMYFUNCTION("IMPORTRANGE(""https://docs.google.com/spreadsheets/d/1-uDff_7J0KD5mKrp0Vvzr7lt3OU09vwQwhkpOPPYv2Y/edit?usp=sharing"",""งบพรบ!FI81"")"),0)</f>
        <v>0</v>
      </c>
      <c r="N364" s="425">
        <f ca="1">IFERROR(__xludf.DUMMYFUNCTION("IMPORTRANGE(""https://docs.google.com/spreadsheets/d/1-uDff_7J0KD5mKrp0Vvzr7lt3OU09vwQwhkpOPPYv2Y/edit?usp=sharing"",""งบพรบ!FK81"")"),0)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43</v>
      </c>
      <c r="J365" s="438">
        <f ca="1">J371</f>
        <v>3</v>
      </c>
      <c r="K365" s="439">
        <f ca="1">IF(I365&gt;0,J365*100/I365,0)</f>
        <v>6.9767441860465116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IFERROR(__xludf.DUMMYFUNCTION("IMPORTRANGE(""https://docs.google.com/spreadsheets/d/1tdoBKaGub7dwA3U6UFTqxio9LNnvDCQjHKmttSEBsFQ/edit?usp=sharing"",""จัดที่ดิน!AB81"")"),0)</f>
        <v>0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IFERROR(__xludf.DUMMYFUNCTION("IMPORTRANGE(""https://docs.google.com/spreadsheets/d/1eHaY18a8A9IcSdp1K8H6x8fbOy06t2VsZHhMHf-1x7Y/edit?usp=sharing"",""แผน!EW81"")"),310)</f>
        <v>310</v>
      </c>
      <c r="J368" s="528">
        <f ca="1">IFERROR(__xludf.DUMMYFUNCTION("IMPORTRANGE(""https://docs.google.com/spreadsheets/d/1tdoBKaGub7dwA3U6UFTqxio9LNnvDCQjHKmttSEBsFQ/edit?usp=sharing"",""จัดที่ดิน!AC81"")"),0)</f>
        <v>0</v>
      </c>
      <c r="K368" s="425">
        <f ca="1">IF(I368&gt;0,J368*100/I368,0)</f>
        <v>0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IFERROR(__xludf.DUMMYFUNCTION("IMPORTRANGE(""https://docs.google.com/spreadsheets/d/1eHaY18a8A9IcSdp1K8H6x8fbOy06t2VsZHhMHf-1x7Y/edit?usp=sharing"",""แผน!EX81"")"),58)</f>
        <v>58</v>
      </c>
      <c r="J369" s="424">
        <f ca="1">IFERROR(__xludf.DUMMYFUNCTION("IMPORTRANGE(""https://docs.google.com/spreadsheets/d/1tdoBKaGub7dwA3U6UFTqxio9LNnvDCQjHKmttSEBsFQ/edit?usp=sharing"",""จัดที่ดิน!AD81"")"),3)</f>
        <v>3</v>
      </c>
      <c r="K369" s="425">
        <f ca="1">IF(I369&gt;0,J369*100/I369,0)</f>
        <v>5.1724137931034484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IFERROR(__xludf.DUMMYFUNCTION("IMPORTRANGE(""https://docs.google.com/spreadsheets/d/1tdoBKaGub7dwA3U6UFTqxio9LNnvDCQjHKmttSEBsFQ/edit?usp=sharing"",""จัดที่ดิน!AE81"")"),41.28)</f>
        <v>41.28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IFERROR(__xludf.DUMMYFUNCTION("IMPORTRANGE(""https://docs.google.com/spreadsheets/d/1eHaY18a8A9IcSdp1K8H6x8fbOy06t2VsZHhMHf-1x7Y/edit?usp=sharing"",""แผน!EY81"")"),43)</f>
        <v>43</v>
      </c>
      <c r="J371" s="424">
        <f ca="1">IFERROR(__xludf.DUMMYFUNCTION("IMPORTRANGE(""https://docs.google.com/spreadsheets/d/1tdoBKaGub7dwA3U6UFTqxio9LNnvDCQjHKmttSEBsFQ/edit?usp=sharing"",""จัดที่ดิน!AF81"")"),3)</f>
        <v>3</v>
      </c>
      <c r="K371" s="425">
        <f ca="1">IF(I371&gt;0,J371*100/I371,0)</f>
        <v>6.9767441860465116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IFERROR(__xludf.DUMMYFUNCTION("IMPORTRANGE(""https://docs.google.com/spreadsheets/d/1tdoBKaGub7dwA3U6UFTqxio9LNnvDCQjHKmttSEBsFQ/edit?usp=sharing"",""จัดที่ดิน!AG81"")"),41.28)</f>
        <v>41.28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IFERROR(__xludf.DUMMYFUNCTION("IMPORTRANGE(""https://docs.google.com/spreadsheets/d/1-uDff_7J0KD5mKrp0Vvzr7lt3OU09vwQwhkpOPPYv2Y/edit?usp=sharing"",""งบพรบ!FM81"")"),0)</f>
        <v>0</v>
      </c>
      <c r="M382" s="544">
        <f ca="1">IFERROR(__xludf.DUMMYFUNCTION("IMPORTRANGE(""https://docs.google.com/spreadsheets/d/1-uDff_7J0KD5mKrp0Vvzr7lt3OU09vwQwhkpOPPYv2Y/edit?usp=sharing"",""งบพรบ!FR81"")"),0)</f>
        <v>0</v>
      </c>
      <c r="N382" s="544">
        <f ca="1">IFERROR(__xludf.DUMMYFUNCTION("IMPORTRANGE(""https://docs.google.com/spreadsheets/d/1-uDff_7J0KD5mKrp0Vvzr7lt3OU09vwQwhkpOPPYv2Y/edit?usp=sharing"",""งบพรบ!FT81"")"),0)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IFERROR(__xludf.DUMMYFUNCTION("IMPORTRANGE(""https://docs.google.com/spreadsheets/d/1-uDff_7J0KD5mKrp0Vvzr7lt3OU09vwQwhkpOPPYv2Y/edit?usp=sharing"",""งบพรบ!FP81"")"),0)</f>
        <v>0</v>
      </c>
      <c r="M385" s="544">
        <f ca="1">IFERROR(__xludf.DUMMYFUNCTION("IMPORTRANGE(""https://docs.google.com/spreadsheets/d/1-uDff_7J0KD5mKrp0Vvzr7lt3OU09vwQwhkpOPPYv2Y/edit?usp=sharing"",""งบพรบ!FS81"")"),0)</f>
        <v>0</v>
      </c>
      <c r="N385" s="544">
        <f ca="1">IFERROR(__xludf.DUMMYFUNCTION("IMPORTRANGE(""https://docs.google.com/spreadsheets/d/1-uDff_7J0KD5mKrp0Vvzr7lt3OU09vwQwhkpOPPYv2Y/edit?usp=sharing"",""งบพรบ!FU81"")"),0)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CE1B-0D7D-4958-8703-1CB18AAF20CA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168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1908235</v>
      </c>
      <c r="M18" s="709">
        <f ca="1">M19+M20</f>
        <v>1634835</v>
      </c>
      <c r="N18" s="709">
        <f ca="1">N19+N20</f>
        <v>516128.99000000005</v>
      </c>
      <c r="O18" s="709">
        <f ca="1">IF(L18&gt;0,N18*100/L18,0)</f>
        <v>27.047454322973852</v>
      </c>
      <c r="P18" s="709">
        <f ca="1">IF(M18&gt;0,N18*100/M18,0)</f>
        <v>31.570708358947545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1908235</v>
      </c>
      <c r="M20" s="822">
        <f ca="1">M23+M26</f>
        <v>1634835</v>
      </c>
      <c r="N20" s="822">
        <f ca="1">N23+N26</f>
        <v>516128.99000000005</v>
      </c>
      <c r="O20" s="822">
        <f ca="1">IF(L20&gt;0,N20*100/L20,0)</f>
        <v>27.047454322973852</v>
      </c>
      <c r="P20" s="822">
        <f ca="1">IF(M20&gt;0,N20*100/M20,0)</f>
        <v>31.570708358947545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1908235</v>
      </c>
      <c r="M21" s="425">
        <f ca="1">M22+M23</f>
        <v>1634835</v>
      </c>
      <c r="N21" s="425">
        <f ca="1">N22+N23</f>
        <v>516128.99000000005</v>
      </c>
      <c r="O21" s="425">
        <f ca="1">IF(L21&gt;0,N21*100/L21,0)</f>
        <v>27.047454322973852</v>
      </c>
      <c r="P21" s="425">
        <f ca="1">IF(M21&gt;0,N21*100/M21,0)</f>
        <v>31.570708358947545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1908235</v>
      </c>
      <c r="M23" s="425">
        <f ca="1">M49+M64+M77+M99+M130+M144+M162+M191+M178+M271+M287+M308+M325+M338+M361+M382</f>
        <v>1634835</v>
      </c>
      <c r="N23" s="425">
        <f ca="1">N49+N64+N77+N99+N130+N144+N162+N191+N178+N271+N287+N308+N325+N338+N361+N382</f>
        <v>516128.99000000005</v>
      </c>
      <c r="O23" s="425">
        <f ca="1">IF(L23&gt;0,N23*100/L23,0)</f>
        <v>27.047454322973852</v>
      </c>
      <c r="P23" s="425">
        <f ca="1">IF(M23&gt;0,N23*100/M23,0)</f>
        <v>31.570708358947545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1908235</v>
      </c>
      <c r="M40" s="814">
        <f ca="1">M44+M59+M72+M94+M125+M139+M157+M173+M186+M266+M282+M303+M320+M333+M356</f>
        <v>1634835</v>
      </c>
      <c r="N40" s="814">
        <f ca="1">N44+N59+N72+N94+N125+N139+N157+N173+N186+N266+N282+N303+N320+N333+N356</f>
        <v>516128.99000000005</v>
      </c>
      <c r="O40" s="814">
        <f ca="1">IF(L40&gt;0,N40*100/L40,0)</f>
        <v>27.047454322973852</v>
      </c>
      <c r="P40" s="814">
        <f ca="1">IF(M40&gt;0,N40*100/M40,0)</f>
        <v>31.570708358947545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376600</v>
      </c>
      <c r="M44" s="799">
        <f ca="1">M45+M46</f>
        <v>381100</v>
      </c>
      <c r="N44" s="799">
        <f ca="1">N45+N46</f>
        <v>129000</v>
      </c>
      <c r="O44" s="799">
        <f ca="1">IF(L44&gt;0,N44*100/L44,0)</f>
        <v>34.253850238980348</v>
      </c>
      <c r="P44" s="799">
        <f ca="1">IF(M44&gt;0,N44*100/M44,0)</f>
        <v>33.849383363946473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376600</v>
      </c>
      <c r="M46" s="788">
        <f ca="1">M49+M52</f>
        <v>381100</v>
      </c>
      <c r="N46" s="788">
        <f ca="1">N49+N52</f>
        <v>129000</v>
      </c>
      <c r="O46" s="788">
        <f ca="1">IF(L46&gt;0,N46*100/L46,0)</f>
        <v>34.253850238980348</v>
      </c>
      <c r="P46" s="788">
        <f ca="1">IF(M46&gt;0,N46*100/M46,0)</f>
        <v>33.849383363946473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376600</v>
      </c>
      <c r="M47" s="425">
        <f ca="1">M48+M49</f>
        <v>381100</v>
      </c>
      <c r="N47" s="425">
        <f ca="1">N48+N49</f>
        <v>129000</v>
      </c>
      <c r="O47" s="425">
        <f ca="1">IF(L47&gt;0,N47*100/L47,0)</f>
        <v>34.253850238980348</v>
      </c>
      <c r="P47" s="425">
        <f ca="1">IF(M47&gt;0,N47*100/M47,0)</f>
        <v>33.849383363946473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IFERROR(__xludf.DUMMYFUNCTION("IMPORTRANGE(""https://docs.google.com/spreadsheets/d/1-uDff_7J0KD5mKrp0Vvzr7lt3OU09vwQwhkpOPPYv2Y/edit?usp=sharing"",""งบพรบ!P82"")"),376600)</f>
        <v>376600</v>
      </c>
      <c r="M49" s="425">
        <f ca="1">IFERROR(__xludf.DUMMYFUNCTION("IMPORTRANGE(""https://docs.google.com/spreadsheets/d/1-uDff_7J0KD5mKrp0Vvzr7lt3OU09vwQwhkpOPPYv2Y/edit?usp=sharing"",""งบพรบ!V82"")"),381100)</f>
        <v>381100</v>
      </c>
      <c r="N49" s="425">
        <f ca="1">IFERROR(__xludf.DUMMYFUNCTION("IMPORTRANGE(""https://docs.google.com/spreadsheets/d/1-uDff_7J0KD5mKrp0Vvzr7lt3OU09vwQwhkpOPPYv2Y/edit?usp=sharing"",""งบพรบ!Y82"")"),129000)</f>
        <v>129000</v>
      </c>
      <c r="O49" s="425">
        <f ca="1">IF(L49&gt;0,N49*100/L49,0)</f>
        <v>34.253850238980348</v>
      </c>
      <c r="P49" s="425">
        <f ca="1">IF(M49&gt;0,N49*100/M49,0)</f>
        <v>33.849383363946473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IFERROR(__xludf.DUMMYFUNCTION("IMPORTRANGE(""https://docs.google.com/spreadsheets/d/1-uDff_7J0KD5mKrp0Vvzr7lt3OU09vwQwhkpOPPYv2Y/edit?usp=sharing"",""งบพรบ!S82"")"),0)</f>
        <v>0</v>
      </c>
      <c r="M52" s="425">
        <f ca="1">IFERROR(__xludf.DUMMYFUNCTION("IMPORTRANGE(""https://docs.google.com/spreadsheets/d/1-uDff_7J0KD5mKrp0Vvzr7lt3OU09vwQwhkpOPPYv2Y/edit?usp=sharing"",""งบพรบ!W82"")"),0)</f>
        <v>0</v>
      </c>
      <c r="N52" s="425">
        <f ca="1">IFERROR(__xludf.DUMMYFUNCTION("IMPORTRANGE(""https://docs.google.com/spreadsheets/d/1-uDff_7J0KD5mKrp0Vvzr7lt3OU09vwQwhkpOPPYv2Y/edit?usp=sharing"",""งบพรบ!Z82"")"),0)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413200</v>
      </c>
      <c r="M59" s="768">
        <f ca="1">M60+M61</f>
        <v>312050</v>
      </c>
      <c r="N59" s="768">
        <f ca="1">N60+N61</f>
        <v>165423.24</v>
      </c>
      <c r="O59" s="768">
        <f ca="1">IF(L59&gt;0,N59*100/L59,0)</f>
        <v>40.034666021297191</v>
      </c>
      <c r="P59" s="768">
        <f ca="1">IF(M59&gt;0,N59*100/M59,0)</f>
        <v>53.011773754206054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413200</v>
      </c>
      <c r="M61" s="757">
        <f ca="1">M64+M67</f>
        <v>312050</v>
      </c>
      <c r="N61" s="757">
        <f ca="1">N64+N67</f>
        <v>165423.24</v>
      </c>
      <c r="O61" s="757">
        <f ca="1">IF(L61&gt;0,N61*100/L61,0)</f>
        <v>40.034666021297191</v>
      </c>
      <c r="P61" s="757">
        <f ca="1">IF(M61&gt;0,N61*100/M61,0)</f>
        <v>53.011773754206054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413200</v>
      </c>
      <c r="M62" s="425">
        <f ca="1">M63+M64</f>
        <v>312050</v>
      </c>
      <c r="N62" s="425">
        <f ca="1">N63+N64</f>
        <v>165423.24</v>
      </c>
      <c r="O62" s="425">
        <f ca="1">IF(L62&gt;0,N62*100/L62,0)</f>
        <v>40.034666021297191</v>
      </c>
      <c r="P62" s="425">
        <f ca="1">IF(M62&gt;0,N62*100/M62,0)</f>
        <v>53.011773754206054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IFERROR(__xludf.DUMMYFUNCTION("IMPORTRANGE(""https://docs.google.com/spreadsheets/d/1-uDff_7J0KD5mKrp0Vvzr7lt3OU09vwQwhkpOPPYv2Y/edit?usp=sharing"",""งบพรบ!AC82"")"),413200)</f>
        <v>413200</v>
      </c>
      <c r="M64" s="425">
        <f ca="1">IFERROR(__xludf.DUMMYFUNCTION("IMPORTRANGE(""https://docs.google.com/spreadsheets/d/1-uDff_7J0KD5mKrp0Vvzr7lt3OU09vwQwhkpOPPYv2Y/edit?usp=sharing"",""งบพรบ!AH82"")"),312050)</f>
        <v>312050</v>
      </c>
      <c r="N64" s="425">
        <f ca="1">IFERROR(__xludf.DUMMYFUNCTION("IMPORTRANGE(""https://docs.google.com/spreadsheets/d/1-uDff_7J0KD5mKrp0Vvzr7lt3OU09vwQwhkpOPPYv2Y/edit?usp=sharing"",""งบพรบ!AJ82"")"),165423.24)</f>
        <v>165423.24</v>
      </c>
      <c r="O64" s="425">
        <f ca="1">IF(L64&gt;0,N64*100/L64,0)</f>
        <v>40.034666021297191</v>
      </c>
      <c r="P64" s="425">
        <f ca="1">IF(M64&gt;0,N64*100/M64,0)</f>
        <v>53.011773754206054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IFERROR(__xludf.DUMMYFUNCTION("IMPORTRANGE(""https://docs.google.com/spreadsheets/d/1-uDff_7J0KD5mKrp0Vvzr7lt3OU09vwQwhkpOPPYv2Y/edit?usp=sharing"",""งบพรบ!AF82"")"),0)</f>
        <v>0</v>
      </c>
      <c r="M67" s="752">
        <f ca="1">IFERROR(__xludf.DUMMYFUNCTION("IMPORTRANGE(""https://docs.google.com/spreadsheets/d/1-uDff_7J0KD5mKrp0Vvzr7lt3OU09vwQwhkpOPPYv2Y/edit?usp=sharing"",""งบพรบ!AI82"")"),0)</f>
        <v>0</v>
      </c>
      <c r="N67" s="752">
        <f ca="1">IFERROR(__xludf.DUMMYFUNCTION("IMPORTRANGE(""https://docs.google.com/spreadsheets/d/1-uDff_7J0KD5mKrp0Vvzr7lt3OU09vwQwhkpOPPYv2Y/edit?usp=sharing"",""งบพรบ!AK82"")"),0)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1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30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544900</v>
      </c>
      <c r="M72" s="550">
        <f ca="1">M73+M74</f>
        <v>457500</v>
      </c>
      <c r="N72" s="550">
        <f ca="1">N73+N74</f>
        <v>137584.78</v>
      </c>
      <c r="O72" s="550">
        <f ca="1">IF(L72&gt;0,N72*100/L72,0)</f>
        <v>25.249546705817583</v>
      </c>
      <c r="P72" s="550">
        <f ca="1">IF(M72&gt;0,N72*100/M72,0)</f>
        <v>30.073175956284153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544900</v>
      </c>
      <c r="M74" s="425">
        <f ca="1">M77+M80</f>
        <v>457500</v>
      </c>
      <c r="N74" s="425">
        <f ca="1">N77+N80</f>
        <v>137584.78</v>
      </c>
      <c r="O74" s="425">
        <f ca="1">IF(L74&gt;0,N74*100/L74,0)</f>
        <v>25.249546705817583</v>
      </c>
      <c r="P74" s="425">
        <f ca="1">IF(M74&gt;0,N74*100/M74,0)</f>
        <v>30.073175956284153</v>
      </c>
    </row>
    <row r="75" spans="1:16" ht="18.75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544900</v>
      </c>
      <c r="M75" s="425">
        <f ca="1">M76+M77</f>
        <v>457500</v>
      </c>
      <c r="N75" s="425">
        <f ca="1">N76+N77</f>
        <v>137584.78</v>
      </c>
      <c r="O75" s="425">
        <f ca="1">IF(L75&gt;0,N75*100/L75,0)</f>
        <v>25.249546705817583</v>
      </c>
      <c r="P75" s="425">
        <f ca="1">IF(M75&gt;0,N75*100/M75,0)</f>
        <v>30.073175956284153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IFERROR(__xludf.DUMMYFUNCTION("IMPORTRANGE(""https://docs.google.com/spreadsheets/d/1-uDff_7J0KD5mKrp0Vvzr7lt3OU09vwQwhkpOPPYv2Y/edit?usp=sharing"",""งบพรบ!AM82"")"),544900)</f>
        <v>544900</v>
      </c>
      <c r="M77" s="425">
        <f ca="1">IFERROR(__xludf.DUMMYFUNCTION("IMPORTRANGE(""https://docs.google.com/spreadsheets/d/1-uDff_7J0KD5mKrp0Vvzr7lt3OU09vwQwhkpOPPYv2Y/edit?usp=sharing"",""งบพรบ!AR82"")"),457500)</f>
        <v>457500</v>
      </c>
      <c r="N77" s="425">
        <f ca="1">IFERROR(__xludf.DUMMYFUNCTION("IMPORTRANGE(""https://docs.google.com/spreadsheets/d/1-uDff_7J0KD5mKrp0Vvzr7lt3OU09vwQwhkpOPPYv2Y/edit?usp=sharing"",""งบพรบ!AT82"")"),137584.78)</f>
        <v>137584.78</v>
      </c>
      <c r="O77" s="425">
        <f ca="1">IF(L77&gt;0,N77*100/L77,0)</f>
        <v>25.249546705817583</v>
      </c>
      <c r="P77" s="425">
        <f ca="1">IF(M77&gt;0,N77*100/M77,0)</f>
        <v>30.073175956284153</v>
      </c>
    </row>
    <row r="78" spans="1:16" ht="18.75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IFERROR(__xludf.DUMMYFUNCTION("IMPORTRANGE(""https://docs.google.com/spreadsheets/d/1-uDff_7J0KD5mKrp0Vvzr7lt3OU09vwQwhkpOPPYv2Y/edit?usp=sharing"",""งบพรบ!AP82"")"),0)</f>
        <v>0</v>
      </c>
      <c r="M80" s="425">
        <f ca="1">IFERROR(__xludf.DUMMYFUNCTION("IMPORTRANGE(""https://docs.google.com/spreadsheets/d/1-uDff_7J0KD5mKrp0Vvzr7lt3OU09vwQwhkpOPPYv2Y/edit?usp=sharing"",""งบพรบ!AS82"")"),0)</f>
        <v>0</v>
      </c>
      <c r="N80" s="425">
        <f ca="1">IFERROR(__xludf.DUMMYFUNCTION("IMPORTRANGE(""https://docs.google.com/spreadsheets/d/1-uDff_7J0KD5mKrp0Vvzr7lt3OU09vwQwhkpOPPYv2Y/edit?usp=sharing"",""งบพรบ!AU82"")"),0)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1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30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IFERROR(__xludf.DUMMYFUNCTION("IMPORTRANGE(""https://docs.google.com/spreadsheets/d/1eHaY18a8A9IcSdp1K8H6x8fbOy06t2VsZHhMHf-1x7Y/edit?usp=sharing"",""แผน!H82"")"),0)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IFERROR(__xludf.DUMMYFUNCTION("IMPORTRANGE(""https://docs.google.com/spreadsheets/d/1eHaY18a8A9IcSdp1K8H6x8fbOy06t2VsZHhMHf-1x7Y/edit?usp=sharing"",""แผน!I82"")"),0)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IFERROR(__xludf.DUMMYFUNCTION("IMPORTRANGE(""https://docs.google.com/spreadsheets/d/1eHaY18a8A9IcSdp1K8H6x8fbOy06t2VsZHhMHf-1x7Y/edit?usp=sharing"",""แผน!F82"")"),0)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IFERROR(__xludf.DUMMYFUNCTION("IMPORTRANGE(""https://docs.google.com/spreadsheets/d/1eHaY18a8A9IcSdp1K8H6x8fbOy06t2VsZHhMHf-1x7Y/edit?usp=sharing"",""แผน!G82"")"),0)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IFERROR(__xludf.DUMMYFUNCTION("IMPORTRANGE(""https://docs.google.com/spreadsheets/d/1eHaY18a8A9IcSdp1K8H6x8fbOy06t2VsZHhMHf-1x7Y/edit?usp=sharing"",""แผน!D82"")"),1)</f>
        <v>1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IFERROR(__xludf.DUMMYFUNCTION("IMPORTRANGE(""https://docs.google.com/spreadsheets/d/1eHaY18a8A9IcSdp1K8H6x8fbOy06t2VsZHhMHf-1x7Y/edit?usp=sharing"",""แผน!E82"")"),30)</f>
        <v>30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IFERROR(__xludf.DUMMYFUNCTION("IMPORTRANGE(""https://docs.google.com/spreadsheets/d/1eHaY18a8A9IcSdp1K8H6x8fbOy06t2VsZHhMHf-1x7Y/edit?usp=sharing"",""แผน!J82"")"),1)</f>
        <v>1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IFERROR(__xludf.DUMMYFUNCTION("IMPORTRANGE(""https://docs.google.com/spreadsheets/d/1-uDff_7J0KD5mKrp0Vvzr7lt3OU09vwQwhkpOPPYv2Y/edit?usp=sharing"",""งบพรบ!AW82"")"),0)</f>
        <v>0</v>
      </c>
      <c r="M99" s="425">
        <f ca="1">IFERROR(__xludf.DUMMYFUNCTION("IMPORTRANGE(""https://docs.google.com/spreadsheets/d/1-uDff_7J0KD5mKrp0Vvzr7lt3OU09vwQwhkpOPPYv2Y/edit?usp=sharing"",""งบพรบ!BB82"")"),0)</f>
        <v>0</v>
      </c>
      <c r="N99" s="425">
        <f ca="1">IFERROR(__xludf.DUMMYFUNCTION("IMPORTRANGE(""https://docs.google.com/spreadsheets/d/1-uDff_7J0KD5mKrp0Vvzr7lt3OU09vwQwhkpOPPYv2Y/edit?usp=sharing"",""งบพรบ!BD82"")"),0)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IFERROR(__xludf.DUMMYFUNCTION("IMPORTRANGE(""https://docs.google.com/spreadsheets/d/1-uDff_7J0KD5mKrp0Vvzr7lt3OU09vwQwhkpOPPYv2Y/edit?usp=sharing"",""งบพรบ!AZ82"")"),0)</f>
        <v>0</v>
      </c>
      <c r="M102" s="425">
        <f ca="1">IFERROR(__xludf.DUMMYFUNCTION("IMPORTRANGE(""https://docs.google.com/spreadsheets/d/1-uDff_7J0KD5mKrp0Vvzr7lt3OU09vwQwhkpOPPYv2Y/edit?usp=sharing"",""งบพรบ!BC82"")"),0)</f>
        <v>0</v>
      </c>
      <c r="N102" s="425">
        <f ca="1">IFERROR(__xludf.DUMMYFUNCTION("IMPORTRANGE(""https://docs.google.com/spreadsheets/d/1-uDff_7J0KD5mKrp0Vvzr7lt3OU09vwQwhkpOPPYv2Y/edit?usp=sharing"",""งบพรบ!BE82"")"),0)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IFERROR(__xludf.DUMMYFUNCTION("IMPORTRANGE(""https://docs.google.com/spreadsheets/d/1eHaY18a8A9IcSdp1K8H6x8fbOy06t2VsZHhMHf-1x7Y/edit?usp=sharing"",""แผน!N82"")"),0)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IFERROR(__xludf.DUMMYFUNCTION("IMPORTRANGE(""https://docs.google.com/spreadsheets/d/1eHaY18a8A9IcSdp1K8H6x8fbOy06t2VsZHhMHf-1x7Y/edit?usp=sharing"",""แผน!O82"")"),0)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IFERROR(__xludf.DUMMYFUNCTION("IMPORTRANGE(""https://docs.google.com/spreadsheets/d/1eHaY18a8A9IcSdp1K8H6x8fbOy06t2VsZHhMHf-1x7Y/edit?usp=sharing"",""แผน!R82"")"),0)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IFERROR(__xludf.DUMMYFUNCTION("IMPORTRANGE(""https://docs.google.com/spreadsheets/d/1-uDff_7J0KD5mKrp0Vvzr7lt3OU09vwQwhkpOPPYv2Y/edit?usp=sharing"",""งบพรบ!BG82"")"),0)</f>
        <v>0</v>
      </c>
      <c r="M130" s="728">
        <f ca="1">IFERROR(__xludf.DUMMYFUNCTION("IMPORTRANGE(""https://docs.google.com/spreadsheets/d/1-uDff_7J0KD5mKrp0Vvzr7lt3OU09vwQwhkpOPPYv2Y/edit?usp=sharing"",""งบพรบ!BL82"")"),0)</f>
        <v>0</v>
      </c>
      <c r="N130" s="728">
        <f ca="1">IFERROR(__xludf.DUMMYFUNCTION("IMPORTRANGE(""https://docs.google.com/spreadsheets/d/1-uDff_7J0KD5mKrp0Vvzr7lt3OU09vwQwhkpOPPYv2Y/edit?usp=sharing"",""งบพรบ!BN82"")"),0)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IFERROR(__xludf.DUMMYFUNCTION("IMPORTRANGE(""https://docs.google.com/spreadsheets/d/1-uDff_7J0KD5mKrp0Vvzr7lt3OU09vwQwhkpOPPYv2Y/edit?usp=sharing"",""งบพรบ!BJ82"")"),0)</f>
        <v>0</v>
      </c>
      <c r="M133" s="728">
        <f ca="1">IFERROR(__xludf.DUMMYFUNCTION("IMPORTRANGE(""https://docs.google.com/spreadsheets/d/1-uDff_7J0KD5mKrp0Vvzr7lt3OU09vwQwhkpOPPYv2Y/edit?usp=sharing"",""งบพรบ!BM82"")"),0)</f>
        <v>0</v>
      </c>
      <c r="N133" s="728">
        <f ca="1">IFERROR(__xludf.DUMMYFUNCTION("IMPORTRANGE(""https://docs.google.com/spreadsheets/d/1-uDff_7J0KD5mKrp0Vvzr7lt3OU09vwQwhkpOPPYv2Y/edit?usp=sharing"",""งบพรบ!BO82"")"),0)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2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60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6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91400</v>
      </c>
      <c r="M139" s="550">
        <f ca="1">M140+M141</f>
        <v>86400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91400</v>
      </c>
      <c r="M141" s="425">
        <f ca="1">M144+M147</f>
        <v>86400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91400</v>
      </c>
      <c r="M142" s="425">
        <f ca="1">M143+M144</f>
        <v>86400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IFERROR(__xludf.DUMMYFUNCTION("IMPORTRANGE(""https://docs.google.com/spreadsheets/d/1-uDff_7J0KD5mKrp0Vvzr7lt3OU09vwQwhkpOPPYv2Y/edit?usp=sharing"",""งบพรบ!BQ82"")"),91400)</f>
        <v>91400</v>
      </c>
      <c r="M144" s="425">
        <f ca="1">IFERROR(__xludf.DUMMYFUNCTION("IMPORTRANGE(""https://docs.google.com/spreadsheets/d/1-uDff_7J0KD5mKrp0Vvzr7lt3OU09vwQwhkpOPPYv2Y/edit?usp=sharing"",""งบพรบ!BV82"")"),86400)</f>
        <v>86400</v>
      </c>
      <c r="N144" s="425">
        <f ca="1">IFERROR(__xludf.DUMMYFUNCTION("IMPORTRANGE(""https://docs.google.com/spreadsheets/d/1-uDff_7J0KD5mKrp0Vvzr7lt3OU09vwQwhkpOPPYv2Y/edit?usp=sharing"",""งบพรบ!BX82"")"),0)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IFERROR(__xludf.DUMMYFUNCTION("IMPORTRANGE(""https://docs.google.com/spreadsheets/d/1-uDff_7J0KD5mKrp0Vvzr7lt3OU09vwQwhkpOPPYv2Y/edit?usp=sharing"",""งบพรบ!BT82"")"),0)</f>
        <v>0</v>
      </c>
      <c r="M147" s="425">
        <f ca="1">IFERROR(__xludf.DUMMYFUNCTION("IMPORTRANGE(""https://docs.google.com/spreadsheets/d/1-uDff_7J0KD5mKrp0Vvzr7lt3OU09vwQwhkpOPPYv2Y/edit?usp=sharing"",""งบพรบ!BW82"")"),0)</f>
        <v>0</v>
      </c>
      <c r="N147" s="425">
        <f ca="1">IFERROR(__xludf.DUMMYFUNCTION("IMPORTRANGE(""https://docs.google.com/spreadsheets/d/1-uDff_7J0KD5mKrp0Vvzr7lt3OU09vwQwhkpOPPYv2Y/edit?usp=sharing"",""งบพรบ!BY82"")"),0)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IFERROR(__xludf.DUMMYFUNCTION("IMPORTRANGE(""https://docs.google.com/spreadsheets/d/1eHaY18a8A9IcSdp1K8H6x8fbOy06t2VsZHhMHf-1x7Y/edit?usp=sharing"",""แผน!U82"")"),20)</f>
        <v>20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IFERROR(__xludf.DUMMYFUNCTION("IMPORTRANGE(""https://docs.google.com/spreadsheets/d/1eHaY18a8A9IcSdp1K8H6x8fbOy06t2VsZHhMHf-1x7Y/edit?usp=sharing"",""แผน!V82"")"),2)</f>
        <v>2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IFERROR(__xludf.DUMMYFUNCTION("IMPORTRANGE(""https://docs.google.com/spreadsheets/d/1eHaY18a8A9IcSdp1K8H6x8fbOy06t2VsZHhMHf-1x7Y/edit?usp=sharing"",""แผน!W82"")"),60)</f>
        <v>60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IFERROR(__xludf.DUMMYFUNCTION("IMPORTRANGE(""https://docs.google.com/spreadsheets/d/1eHaY18a8A9IcSdp1K8H6x8fbOy06t2VsZHhMHf-1x7Y/edit?usp=sharing"",""แผน!X82"")"),6)</f>
        <v>6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IFERROR(__xludf.DUMMYFUNCTION("IMPORTRANGE(""https://docs.google.com/spreadsheets/d/1eHaY18a8A9IcSdp1K8H6x8fbOy06t2VsZHhMHf-1x7Y/edit?usp=sharing"",""แผน!Y82"")"),2)</f>
        <v>2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IFERROR(__xludf.DUMMYFUNCTION("IMPORTRANGE(""https://docs.google.com/spreadsheets/d/1-uDff_7J0KD5mKrp0Vvzr7lt3OU09vwQwhkpOPPYv2Y/edit?usp=sharing"",""งบพรบ!CA82"")"),0)</f>
        <v>0</v>
      </c>
      <c r="M162" s="425">
        <f ca="1">IFERROR(__xludf.DUMMYFUNCTION("IMPORTRANGE(""https://docs.google.com/spreadsheets/d/1-uDff_7J0KD5mKrp0Vvzr7lt3OU09vwQwhkpOPPYv2Y/edit?usp=sharing"",""งบพรบ!CF82"")"),0)</f>
        <v>0</v>
      </c>
      <c r="N162" s="425">
        <f ca="1">IFERROR(__xludf.DUMMYFUNCTION("IMPORTRANGE(""https://docs.google.com/spreadsheets/d/1-uDff_7J0KD5mKrp0Vvzr7lt3OU09vwQwhkpOPPYv2Y/edit?usp=sharing"",""งบพรบ!CH82"")"),0)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IFERROR(__xludf.DUMMYFUNCTION("IMPORTRANGE(""https://docs.google.com/spreadsheets/d/1-uDff_7J0KD5mKrp0Vvzr7lt3OU09vwQwhkpOPPYv2Y/edit?usp=sharing"",""งบพรบ!CD82"")"),0)</f>
        <v>0</v>
      </c>
      <c r="M165" s="425">
        <f ca="1">IFERROR(__xludf.DUMMYFUNCTION("IMPORTRANGE(""https://docs.google.com/spreadsheets/d/1-uDff_7J0KD5mKrp0Vvzr7lt3OU09vwQwhkpOPPYv2Y/edit?usp=sharing"",""งบพรบ!CG82"")"),0)</f>
        <v>0</v>
      </c>
      <c r="N165" s="425">
        <f ca="1">IFERROR(__xludf.DUMMYFUNCTION("IMPORTRANGE(""https://docs.google.com/spreadsheets/d/1-uDff_7J0KD5mKrp0Vvzr7lt3OU09vwQwhkpOPPYv2Y/edit?usp=sharing"",""งบพรบ!CI82"")"),0)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IFERROR(__xludf.DUMMYFUNCTION("IMPORTRANGE(""https://docs.google.com/spreadsheets/d/1eHaY18a8A9IcSdp1K8H6x8fbOy06t2VsZHhMHf-1x7Y/edit?usp=sharing"",""แผน!Z82"")"),0)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IFERROR(__xludf.DUMMYFUNCTION("IMPORTRANGE(""https://docs.google.com/spreadsheets/d/1eHaY18a8A9IcSdp1K8H6x8fbOy06t2VsZHhMHf-1x7Y/edit?usp=sharing"",""แผน!Z82"")"),0)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IFERROR(__xludf.DUMMYFUNCTION("IMPORTRANGE(""https://docs.google.com/spreadsheets/d/1eHaY18a8A9IcSdp1K8H6x8fbOy06t2VsZHhMHf-1x7Y/edit?usp=sharing"",""แผน!Z82"")"),0)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hidden="1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hidden="1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0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hidden="1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0</v>
      </c>
      <c r="M173" s="550">
        <f ca="1">M174+M175</f>
        <v>0</v>
      </c>
      <c r="N173" s="550">
        <f ca="1">N174+N175</f>
        <v>0</v>
      </c>
      <c r="O173" s="550">
        <f ca="1">IF(L173&gt;0,N173*100/L173,0)</f>
        <v>0</v>
      </c>
      <c r="P173" s="550">
        <f ca="1">IF(M173&gt;0,N173*100/M173,0)</f>
        <v>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hidden="1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0</v>
      </c>
      <c r="M175" s="425">
        <f ca="1">M178+M181</f>
        <v>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hidden="1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0</v>
      </c>
      <c r="M176" s="425">
        <f ca="1">M177+M178</f>
        <v>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hidden="1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IFERROR(__xludf.DUMMYFUNCTION("IMPORTRANGE(""https://docs.google.com/spreadsheets/d/1-uDff_7J0KD5mKrp0Vvzr7lt3OU09vwQwhkpOPPYv2Y/edit?usp=sharing"",""งบพรบ!CK82"")"),0)</f>
        <v>0</v>
      </c>
      <c r="M178" s="425">
        <f ca="1">IFERROR(__xludf.DUMMYFUNCTION("IMPORTRANGE(""https://docs.google.com/spreadsheets/d/1-uDff_7J0KD5mKrp0Vvzr7lt3OU09vwQwhkpOPPYv2Y/edit?usp=sharing"",""งบพรบ!CP82"")"),0)</f>
        <v>0</v>
      </c>
      <c r="N178" s="425">
        <f ca="1">IFERROR(__xludf.DUMMYFUNCTION("IMPORTRANGE(""https://docs.google.com/spreadsheets/d/1-uDff_7J0KD5mKrp0Vvzr7lt3OU09vwQwhkpOPPYv2Y/edit?usp=sharing"",""งบพรบ!CR82"")"),0)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hidden="1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hidden="1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IFERROR(__xludf.DUMMYFUNCTION("IMPORTRANGE(""https://docs.google.com/spreadsheets/d/1-uDff_7J0KD5mKrp0Vvzr7lt3OU09vwQwhkpOPPYv2Y/edit?usp=sharing"",""งบพรบ!CN82"")"),0)</f>
        <v>0</v>
      </c>
      <c r="M181" s="425">
        <f ca="1">IFERROR(__xludf.DUMMYFUNCTION("IMPORTRANGE(""https://docs.google.com/spreadsheets/d/1-uDff_7J0KD5mKrp0Vvzr7lt3OU09vwQwhkpOPPYv2Y/edit?usp=sharing"",""งบพรบ!CQ82"")"),0)</f>
        <v>0</v>
      </c>
      <c r="N181" s="425">
        <f ca="1">IFERROR(__xludf.DUMMYFUNCTION("IMPORTRANGE(""https://docs.google.com/spreadsheets/d/1-uDff_7J0KD5mKrp0Vvzr7lt3OU09vwQwhkpOPPYv2Y/edit?usp=sharing"",""งบพรบ!CS82"")"),0)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hidden="1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hidden="1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IFERROR(__xludf.DUMMYFUNCTION("IMPORTRANGE(""https://docs.google.com/spreadsheets/d/1eHaY18a8A9IcSdp1K8H6x8fbOy06t2VsZHhMHf-1x7Y/edit?usp=sharing"",""แผน!AA82"")"),0)</f>
        <v>0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23500</v>
      </c>
      <c r="M186" s="550">
        <f ca="1">M187+M188</f>
        <v>13500</v>
      </c>
      <c r="N186" s="550">
        <f ca="1">N187+N188</f>
        <v>0</v>
      </c>
      <c r="O186" s="550">
        <f ca="1">IF(L186&gt;0,N186*100/L186,0)</f>
        <v>0</v>
      </c>
      <c r="P186" s="550">
        <f ca="1">IF(M186&gt;0,N186*100/M186,0)</f>
        <v>0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23500</v>
      </c>
      <c r="M188" s="425">
        <f ca="1">M191+M194</f>
        <v>13500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23500</v>
      </c>
      <c r="M189" s="425">
        <f ca="1">M190+M191</f>
        <v>13500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IFERROR(__xludf.DUMMYFUNCTION("IMPORTRANGE(""https://docs.google.com/spreadsheets/d/1-uDff_7J0KD5mKrp0Vvzr7lt3OU09vwQwhkpOPPYv2Y/edit?usp=sharing"",""งบพรบ!CU82"")"),23500)</f>
        <v>23500</v>
      </c>
      <c r="M191" s="425">
        <f ca="1">IFERROR(__xludf.DUMMYFUNCTION("IMPORTRANGE(""https://docs.google.com/spreadsheets/d/1-uDff_7J0KD5mKrp0Vvzr7lt3OU09vwQwhkpOPPYv2Y/edit?usp=sharing"",""งบพรบ!CZ82"")"),13500)</f>
        <v>13500</v>
      </c>
      <c r="N191" s="425">
        <f ca="1">IFERROR(__xludf.DUMMYFUNCTION("IMPORTRANGE(""https://docs.google.com/spreadsheets/d/1-uDff_7J0KD5mKrp0Vvzr7lt3OU09vwQwhkpOPPYv2Y/edit?usp=sharing"",""งบพรบ!DB82"")"),0)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IFERROR(__xludf.DUMMYFUNCTION("IMPORTRANGE(""https://docs.google.com/spreadsheets/d/1-uDff_7J0KD5mKrp0Vvzr7lt3OU09vwQwhkpOPPYv2Y/edit?usp=sharing"",""งบพรบ!CX82"")"),0)</f>
        <v>0</v>
      </c>
      <c r="M194" s="425">
        <f ca="1">IFERROR(__xludf.DUMMYFUNCTION("IMPORTRANGE(""https://docs.google.com/spreadsheets/d/1-uDff_7J0KD5mKrp0Vvzr7lt3OU09vwQwhkpOPPYv2Y/edit?usp=sharing"",""งบพรบ!DA82"")"),0)</f>
        <v>0</v>
      </c>
      <c r="N194" s="425">
        <f ca="1">IFERROR(__xludf.DUMMYFUNCTION("IMPORTRANGE(""https://docs.google.com/spreadsheets/d/1-uDff_7J0KD5mKrp0Vvzr7lt3OU09vwQwhkpOPPYv2Y/edit?usp=sharing"",""งบพรบ!DC82"")"),0)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IFERROR(__xludf.DUMMYFUNCTION("IMPORTRANGE(""https://docs.google.com/spreadsheets/d/1eHaY18a8A9IcSdp1K8H6x8fbOy06t2VsZHhMHf-1x7Y/edit?usp=sharing"",""แผน!AB82"")"),6000)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IFERROR(__xludf.DUMMYFUNCTION("IMPORTRANGE(""https://docs.google.com/spreadsheets/d/1eHaY18a8A9IcSdp1K8H6x8fbOy06t2VsZHhMHf-1x7Y/edit?usp=sharing"",""แผน!AE82"")"),4)</f>
        <v>4</v>
      </c>
      <c r="J198" s="568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13000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IFERROR(__xludf.DUMMYFUNCTION("IMPORTRANGE(""https://docs.google.com/spreadsheets/d/1eHaY18a8A9IcSdp1K8H6x8fbOy06t2VsZHhMHf-1x7Y/edit?usp=sharing"",""แผน!AG82"")"),1000)</f>
        <v>1000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IFERROR(__xludf.DUMMYFUNCTION("IMPORTRANGE(""https://docs.google.com/spreadsheets/d/1eHaY18a8A9IcSdp1K8H6x8fbOy06t2VsZHhMHf-1x7Y/edit?usp=sharing"",""แผน!AH82"")"),0)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IFERROR(__xludf.DUMMYFUNCTION("IMPORTRANGE(""https://docs.google.com/spreadsheets/d/1eHaY18a8A9IcSdp1K8H6x8fbOy06t2VsZHhMHf-1x7Y/edit?usp=sharing"",""แผน!AI82"")"),8000)</f>
        <v>8000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IFERROR(__xludf.DUMMYFUNCTION("IMPORTRANGE(""https://docs.google.com/spreadsheets/d/1eHaY18a8A9IcSdp1K8H6x8fbOy06t2VsZHhMHf-1x7Y/edit?usp=sharing"",""แผน!AJ82"")"),4000)</f>
        <v>4000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IFERROR(__xludf.DUMMYFUNCTION("IMPORTRANGE(""https://docs.google.com/spreadsheets/d/1eHaY18a8A9IcSdp1K8H6x8fbOy06t2VsZHhMHf-1x7Y/edit?usp=sharing"",""แผน!AK82"")"),1)</f>
        <v>1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IFERROR(__xludf.DUMMYFUNCTION("IMPORTRANGE(""https://docs.google.com/spreadsheets/d/1eHaY18a8A9IcSdp1K8H6x8fbOy06t2VsZHhMHf-1x7Y/edit?usp=sharing"",""แผน!JX82"")"),1)</f>
        <v>1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IFERROR(__xludf.DUMMYFUNCTION("IMPORTRANGE(""https://docs.google.com/spreadsheets/d/1eHaY18a8A9IcSdp1K8H6x8fbOy06t2VsZHhMHf-1x7Y/edit?usp=sharing"",""แผน!JY82"")"),0)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hidden="1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hidden="1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IFERROR(__xludf.DUMMYFUNCTION("IMPORTRANGE(""https://docs.google.com/spreadsheets/d/1eHaY18a8A9IcSdp1K8H6x8fbOy06t2VsZHhMHf-1x7Y/edit?usp=sharing"",""แผน!AM82"")"),0)</f>
        <v>0</v>
      </c>
      <c r="M215" s="428"/>
      <c r="N215" s="683">
        <v>0</v>
      </c>
      <c r="O215" s="527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IFERROR(__xludf.DUMMYFUNCTION("IMPORTRANGE(""https://docs.google.com/spreadsheets/d/1eHaY18a8A9IcSdp1K8H6x8fbOy06t2VsZHhMHf-1x7Y/edit?usp=sharing"",""แผน!AN82"")"),0)</f>
        <v>0</v>
      </c>
      <c r="M216" s="428"/>
      <c r="N216" s="683">
        <v>0</v>
      </c>
      <c r="O216" s="527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IFERROR(__xludf.DUMMYFUNCTION("IMPORTRANGE(""https://docs.google.com/spreadsheets/d/1eHaY18a8A9IcSdp1K8H6x8fbOy06t2VsZHhMHf-1x7Y/edit?usp=sharing"",""แผน!AO82"")"),0)</f>
        <v>0</v>
      </c>
      <c r="M217" s="428"/>
      <c r="N217" s="683">
        <v>0</v>
      </c>
      <c r="O217" s="527"/>
      <c r="P217" s="428"/>
    </row>
    <row r="218" spans="1:16" ht="19.5" hidden="1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hidden="1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IFERROR(__xludf.DUMMYFUNCTION("IMPORTRANGE(""https://docs.google.com/spreadsheets/d/1eHaY18a8A9IcSdp1K8H6x8fbOy06t2VsZHhMHf-1x7Y/edit?usp=sharing"",""แผน!AP82"")"),0)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IFERROR(__xludf.DUMMYFUNCTION("IMPORTRANGE(""https://docs.google.com/spreadsheets/d/1eHaY18a8A9IcSdp1K8H6x8fbOy06t2VsZHhMHf-1x7Y/edit?usp=sharing"",""แผน!AP82"")"),0)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IFERROR(__xludf.DUMMYFUNCTION("IMPORTRANGE(""https://docs.google.com/spreadsheets/d/1eHaY18a8A9IcSdp1K8H6x8fbOy06t2VsZHhMHf-1x7Y/edit?usp=sharing"",""แผน!AR82"")"),3000)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IFERROR(__xludf.DUMMYFUNCTION("IMPORTRANGE(""https://docs.google.com/spreadsheets/d/1eHaY18a8A9IcSdp1K8H6x8fbOy06t2VsZHhMHf-1x7Y/edit?usp=sharing"",""แผน!AS82"")"),1500)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IFERROR(__xludf.DUMMYFUNCTION("IMPORTRANGE(""https://docs.google.com/spreadsheets/d/1eHaY18a8A9IcSdp1K8H6x8fbOy06t2VsZHhMHf-1x7Y/edit?usp=sharing"",""แผน!AT82"")"),0)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IFERROR(__xludf.DUMMYFUNCTION("IMPORTRANGE(""https://docs.google.com/spreadsheets/d/1eHaY18a8A9IcSdp1K8H6x8fbOy06t2VsZHhMHf-1x7Y/edit?usp=sharing"",""แผน!AV82"")"),10000)</f>
        <v>10000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IFERROR(__xludf.DUMMYFUNCTION("IMPORTRANGE(""https://docs.google.com/spreadsheets/d/1eHaY18a8A9IcSdp1K8H6x8fbOy06t2VsZHhMHf-1x7Y/edit?usp=sharing"",""แผน!AV82"")"),10000)</f>
        <v>10000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IFERROR(__xludf.DUMMYFUNCTION("IMPORTRANGE(""https://docs.google.com/spreadsheets/d/1eHaY18a8A9IcSdp1K8H6x8fbOy06t2VsZHhMHf-1x7Y/edit?usp=sharing"",""แผน!AU82"")"),0)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IFERROR(__xludf.DUMMYFUNCTION("IMPORTRANGE(""https://docs.google.com/spreadsheets/d/1eHaY18a8A9IcSdp1K8H6x8fbOy06t2VsZHhMHf-1x7Y/edit?usp=sharing"",""แผน!AX82"")"),0)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IFERROR(__xludf.DUMMYFUNCTION("IMPORTRANGE(""https://docs.google.com/spreadsheets/d/1eHaY18a8A9IcSdp1K8H6x8fbOy06t2VsZHhMHf-1x7Y/edit?usp=sharing"",""แผน!AY82"")"),0)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IFERROR(__xludf.DUMMYFUNCTION("IMPORTRANGE(""https://docs.google.com/spreadsheets/d/1eHaY18a8A9IcSdp1K8H6x8fbOy06t2VsZHhMHf-1x7Y/edit?usp=sharing"",""แผน!AZ82"")"),0)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IFERROR(__xludf.DUMMYFUNCTION("IMPORTRANGE(""https://docs.google.com/spreadsheets/d/1eHaY18a8A9IcSdp1K8H6x8fbOy06t2VsZHhMHf-1x7Y/edit?usp=sharing"",""แผน!BA82"")"),0)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IFERROR(__xludf.DUMMYFUNCTION("IMPORTRANGE(""https://docs.google.com/spreadsheets/d/1eHaY18a8A9IcSdp1K8H6x8fbOy06t2VsZHhMHf-1x7Y/edit?usp=sharing"",""แผน!BG82"")"),0)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IFERROR(__xludf.DUMMYFUNCTION("IMPORTRANGE(""https://docs.google.com/spreadsheets/d/1eHaY18a8A9IcSdp1K8H6x8fbOy06t2VsZHhMHf-1x7Y/edit?usp=sharing"",""แผน!BB82"")"),0)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IFERROR(__xludf.DUMMYFUNCTION("IMPORTRANGE(""https://docs.google.com/spreadsheets/d/1eHaY18a8A9IcSdp1K8H6x8fbOy06t2VsZHhMHf-1x7Y/edit?usp=sharing"",""แผน!BC82"")"),0)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IFERROR(__xludf.DUMMYFUNCTION("IMPORTRANGE(""https://docs.google.com/spreadsheets/d/1eHaY18a8A9IcSdp1K8H6x8fbOy06t2VsZHhMHf-1x7Y/edit?usp=sharing"",""แผน!BD82"")"),0)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IFERROR(__xludf.DUMMYFUNCTION("IMPORTRANGE(""https://docs.google.com/spreadsheets/d/1eHaY18a8A9IcSdp1K8H6x8fbOy06t2VsZHhMHf-1x7Y/edit?usp=sharing"",""แผน!BE82"")"),0)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IFERROR(__xludf.DUMMYFUNCTION("IMPORTRANGE(""https://docs.google.com/spreadsheets/d/1eHaY18a8A9IcSdp1K8H6x8fbOy06t2VsZHhMHf-1x7Y/edit?usp=sharing"",""แผน!BH82"")"),0)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IFERROR(__xludf.DUMMYFUNCTION("IMPORTRANGE(""https://docs.google.com/spreadsheets/d/1-uDff_7J0KD5mKrp0Vvzr7lt3OU09vwQwhkpOPPYv2Y/edit?usp=sharing"",""งบพรบ!DE82"")"),0)</f>
        <v>0</v>
      </c>
      <c r="M271" s="544">
        <f ca="1">IFERROR(__xludf.DUMMYFUNCTION("IMPORTRANGE(""https://docs.google.com/spreadsheets/d/1-uDff_7J0KD5mKrp0Vvzr7lt3OU09vwQwhkpOPPYv2Y/edit?usp=sharing"",""งบพรบ!DJ82"")"),0)</f>
        <v>0</v>
      </c>
      <c r="N271" s="544">
        <f ca="1">IFERROR(__xludf.DUMMYFUNCTION("IMPORTRANGE(""https://docs.google.com/spreadsheets/d/1-uDff_7J0KD5mKrp0Vvzr7lt3OU09vwQwhkpOPPYv2Y/edit?usp=sharing"",""งบพรบ!DL82"")"),0)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IFERROR(__xludf.DUMMYFUNCTION("IMPORTRANGE(""https://docs.google.com/spreadsheets/d/1-uDff_7J0KD5mKrp0Vvzr7lt3OU09vwQwhkpOPPYv2Y/edit?usp=sharing"",""งบพรบ!DH82"")"),0)</f>
        <v>0</v>
      </c>
      <c r="M274" s="544">
        <f ca="1">IFERROR(__xludf.DUMMYFUNCTION("IMPORTRANGE(""https://docs.google.com/spreadsheets/d/1-uDff_7J0KD5mKrp0Vvzr7lt3OU09vwQwhkpOPPYv2Y/edit?usp=sharing"",""งบพรบ!DK82"")"),0)</f>
        <v>0</v>
      </c>
      <c r="N274" s="544">
        <f ca="1">IFERROR(__xludf.DUMMYFUNCTION("IMPORTRANGE(""https://docs.google.com/spreadsheets/d/1-uDff_7J0KD5mKrp0Vvzr7lt3OU09vwQwhkpOPPYv2Y/edit?usp=sharing"",""งบพรบ!DM82"")"),0)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IFERROR(__xludf.DUMMYFUNCTION("IMPORTRANGE(""https://docs.google.com/spreadsheets/d/1-uDff_7J0KD5mKrp0Vvzr7lt3OU09vwQwhkpOPPYv2Y/edit?usp=sharing"",""งบพรบ!DO82"")"),0)</f>
        <v>0</v>
      </c>
      <c r="M287" s="425">
        <f ca="1">IFERROR(__xludf.DUMMYFUNCTION("IMPORTRANGE(""https://docs.google.com/spreadsheets/d/1-uDff_7J0KD5mKrp0Vvzr7lt3OU09vwQwhkpOPPYv2Y/edit?usp=sharing"",""งบพรบ!DT82"")"),0)</f>
        <v>0</v>
      </c>
      <c r="N287" s="425">
        <f ca="1">IFERROR(__xludf.DUMMYFUNCTION("IMPORTRANGE(""https://docs.google.com/spreadsheets/d/1-uDff_7J0KD5mKrp0Vvzr7lt3OU09vwQwhkpOPPYv2Y/edit?usp=sharing"",""งบพรบ!DV82"")"),0)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IFERROR(__xludf.DUMMYFUNCTION("IMPORTRANGE(""https://docs.google.com/spreadsheets/d/1-uDff_7J0KD5mKrp0Vvzr7lt3OU09vwQwhkpOPPYv2Y/edit?usp=sharing"",""งบพรบ!DR82"")"),0)</f>
        <v>0</v>
      </c>
      <c r="M290" s="425">
        <f ca="1">IFERROR(__xludf.DUMMYFUNCTION("IMPORTRANGE(""https://docs.google.com/spreadsheets/d/1-uDff_7J0KD5mKrp0Vvzr7lt3OU09vwQwhkpOPPYv2Y/edit?usp=sharing"",""งบพรบ!DU82"")"),0)</f>
        <v>0</v>
      </c>
      <c r="N290" s="425">
        <f ca="1">IFERROR(__xludf.DUMMYFUNCTION("IMPORTRANGE(""https://docs.google.com/spreadsheets/d/1-uDff_7J0KD5mKrp0Vvzr7lt3OU09vwQwhkpOPPYv2Y/edit?usp=sharing"",""งบพรบ!DW82"")"),0)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IFERROR(__xludf.DUMMYFUNCTION("IMPORTRANGE(""https://docs.google.com/spreadsheets/d/1eHaY18a8A9IcSdp1K8H6x8fbOy06t2VsZHhMHf-1x7Y/edit?usp=sharing"",""แผน!EE82"")"),0)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IFERROR(__xludf.DUMMYFUNCTION("IMPORTRANGE(""https://docs.google.com/spreadsheets/d/1eHaY18a8A9IcSdp1K8H6x8fbOy06t2VsZHhMHf-1x7Y/edit?usp=sharing"",""แผน!ED82"")"),0)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IFERROR(__xludf.DUMMYFUNCTION("IMPORTRANGE(""https://docs.google.com/spreadsheets/d/1eHaY18a8A9IcSdp1K8H6x8fbOy06t2VsZHhMHf-1x7Y/edit?usp=sharing"",""แผน!ED82"")"),0)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IFERROR(__xludf.DUMMYFUNCTION("IMPORTRANGE(""https://docs.google.com/spreadsheets/d/1eHaY18a8A9IcSdp1K8H6x8fbOy06t2VsZHhMHf-1x7Y/edit?usp=sharing"",""แผน!ED82"")"),0)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15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114900</v>
      </c>
      <c r="M303" s="550">
        <f ca="1">M304+M305</f>
        <v>86800</v>
      </c>
      <c r="N303" s="550">
        <f ca="1">N304+N305</f>
        <v>15364.4</v>
      </c>
      <c r="O303" s="550">
        <f ca="1">IF(L303&gt;0,N303*100/L303,0)</f>
        <v>13.371975630983464</v>
      </c>
      <c r="P303" s="550">
        <f ca="1">IF(M303&gt;0,N303*100/M303,0)</f>
        <v>17.700921658986175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114900</v>
      </c>
      <c r="M305" s="425">
        <f ca="1">M308+M311</f>
        <v>86800</v>
      </c>
      <c r="N305" s="425">
        <f ca="1">N308+N311</f>
        <v>15364.4</v>
      </c>
      <c r="O305" s="425">
        <f ca="1">IF(L305&gt;0,N305*100/L305,0)</f>
        <v>13.371975630983464</v>
      </c>
      <c r="P305" s="425">
        <f ca="1">IF(M305&gt;0,N305*100/M305,0)</f>
        <v>17.700921658986175</v>
      </c>
    </row>
    <row r="306" spans="1:16" ht="18.75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114900</v>
      </c>
      <c r="M306" s="425">
        <f ca="1">M307+M308</f>
        <v>86800</v>
      </c>
      <c r="N306" s="425">
        <f ca="1">N307+N308</f>
        <v>15364.4</v>
      </c>
      <c r="O306" s="425">
        <f ca="1">IF(L306&gt;0,N306*100/L306,0)</f>
        <v>13.371975630983464</v>
      </c>
      <c r="P306" s="425">
        <f ca="1">IF(M306&gt;0,N306*100/M306,0)</f>
        <v>17.700921658986175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IFERROR(__xludf.DUMMYFUNCTION("IMPORTRANGE(""https://docs.google.com/spreadsheets/d/1-uDff_7J0KD5mKrp0Vvzr7lt3OU09vwQwhkpOPPYv2Y/edit?usp=sharing"",""งบพรบ!DY82"")"),114900)</f>
        <v>114900</v>
      </c>
      <c r="M308" s="425">
        <f ca="1">IFERROR(__xludf.DUMMYFUNCTION("IMPORTRANGE(""https://docs.google.com/spreadsheets/d/1-uDff_7J0KD5mKrp0Vvzr7lt3OU09vwQwhkpOPPYv2Y/edit?usp=sharing"",""งบพรบ!ED82"")"),86800)</f>
        <v>86800</v>
      </c>
      <c r="N308" s="425">
        <f ca="1">IFERROR(__xludf.DUMMYFUNCTION("IMPORTRANGE(""https://docs.google.com/spreadsheets/d/1-uDff_7J0KD5mKrp0Vvzr7lt3OU09vwQwhkpOPPYv2Y/edit?usp=sharing"",""งบพรบ!EF82"")"),15364.4)</f>
        <v>15364.4</v>
      </c>
      <c r="O308" s="425">
        <f ca="1">IF(L308&gt;0,N308*100/L308,0)</f>
        <v>13.371975630983464</v>
      </c>
      <c r="P308" s="425">
        <f ca="1">IF(M308&gt;0,N308*100/M308,0)</f>
        <v>17.700921658986175</v>
      </c>
    </row>
    <row r="309" spans="1:16" ht="18.75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IFERROR(__xludf.DUMMYFUNCTION("IMPORTRANGE(""https://docs.google.com/spreadsheets/d/1-uDff_7J0KD5mKrp0Vvzr7lt3OU09vwQwhkpOPPYv2Y/edit?usp=sharing"",""งบพรบ!EB82"")"),0)</f>
        <v>0</v>
      </c>
      <c r="M311" s="425">
        <f ca="1">IFERROR(__xludf.DUMMYFUNCTION("IMPORTRANGE(""https://docs.google.com/spreadsheets/d/1-uDff_7J0KD5mKrp0Vvzr7lt3OU09vwQwhkpOPPYv2Y/edit?usp=sharing"",""งบพรบ!EE82"")"),0)</f>
        <v>0</v>
      </c>
      <c r="N311" s="425">
        <f ca="1">IFERROR(__xludf.DUMMYFUNCTION("IMPORTRANGE(""https://docs.google.com/spreadsheets/d/1-uDff_7J0KD5mKrp0Vvzr7lt3OU09vwQwhkpOPPYv2Y/edit?usp=sharing"",""งบพรบ!EG82"")"),0)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IFERROR(__xludf.DUMMYFUNCTION("IMPORTRANGE(""https://docs.google.com/spreadsheets/d/1eHaY18a8A9IcSdp1K8H6x8fbOy06t2VsZHhMHf-1x7Y/edit?usp=sharing"",""แผน!EF82"")"),15)</f>
        <v>15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IFERROR(__xludf.DUMMYFUNCTION("IMPORTRANGE(""https://docs.google.com/spreadsheets/d/1eHaY18a8A9IcSdp1K8H6x8fbOy06t2VsZHhMHf-1x7Y/edit?usp=sharing"",""แผน!EG82"")"),3)</f>
        <v>3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IFERROR(__xludf.DUMMYFUNCTION("IMPORTRANGE(""https://docs.google.com/spreadsheets/d/1eHaY18a8A9IcSdp1K8H6x8fbOy06t2VsZHhMHf-1x7Y/edit?usp=sharing"",""แผน!EH82"")"),15)</f>
        <v>15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IFERROR(__xludf.DUMMYFUNCTION("IMPORTRANGE(""https://docs.google.com/spreadsheets/d/1eHaY18a8A9IcSdp1K8H6x8fbOy06t2VsZHhMHf-1x7Y/edit?usp=sharing"",""แผน!EI82"")"),3)</f>
        <v>3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IFERROR(__xludf.DUMMYFUNCTION("IMPORTRANGE(""https://docs.google.com/spreadsheets/d/1-uDff_7J0KD5mKrp0Vvzr7lt3OU09vwQwhkpOPPYv2Y/edit?usp=sharing"",""งบพรบ!EI82"")"),0)</f>
        <v>0</v>
      </c>
      <c r="M325" s="425">
        <f ca="1">IFERROR(__xludf.DUMMYFUNCTION("IMPORTRANGE(""https://docs.google.com/spreadsheets/d/1-uDff_7J0KD5mKrp0Vvzr7lt3OU09vwQwhkpOPPYv2Y/edit?usp=sharing"",""งบพรบ!EN82"")"),0)</f>
        <v>0</v>
      </c>
      <c r="N325" s="425">
        <f ca="1">IFERROR(__xludf.DUMMYFUNCTION("IMPORTRANGE(""https://docs.google.com/spreadsheets/d/1-uDff_7J0KD5mKrp0Vvzr7lt3OU09vwQwhkpOPPYv2Y/edit?usp=sharing"",""งบพรบ!EP82"")"),0)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IFERROR(__xludf.DUMMYFUNCTION("IMPORTRANGE(""https://docs.google.com/spreadsheets/d/1-uDff_7J0KD5mKrp0Vvzr7lt3OU09vwQwhkpOPPYv2Y/edit?usp=sharing"",""งบพรบ!EL82"")"),0)</f>
        <v>0</v>
      </c>
      <c r="M328" s="425">
        <f ca="1">IFERROR(__xludf.DUMMYFUNCTION("IMPORTRANGE(""https://docs.google.com/spreadsheets/d/1-uDff_7J0KD5mKrp0Vvzr7lt3OU09vwQwhkpOPPYv2Y/edit?usp=sharing"",""งบพรบ!EO82"")"),0)</f>
        <v>0</v>
      </c>
      <c r="N328" s="425">
        <f ca="1">IFERROR(__xludf.DUMMYFUNCTION("IMPORTRANGE(""https://docs.google.com/spreadsheets/d/1-uDff_7J0KD5mKrp0Vvzr7lt3OU09vwQwhkpOPPYv2Y/edit?usp=sharing"",""งบพรบ!EQ82"")"),0)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IFERROR(__xludf.DUMMYFUNCTION("IMPORTRANGE(""https://docs.google.com/spreadsheets/d/1eHaY18a8A9IcSdp1K8H6x8fbOy06t2VsZHhMHf-1x7Y/edit?usp=sharing"",""แผน!EJ82"")"),0)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800</v>
      </c>
      <c r="J332" s="402">
        <f ca="1">J344+J347+J348+J349+J353</f>
        <v>720</v>
      </c>
      <c r="K332" s="403">
        <f ca="1">IF(I332&gt;0,J332*100/I332,0)</f>
        <v>90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102000</v>
      </c>
      <c r="M333" s="550">
        <f ca="1">M334+M335</f>
        <v>81750</v>
      </c>
      <c r="N333" s="550">
        <f ca="1">N334+N335</f>
        <v>27200</v>
      </c>
      <c r="O333" s="550">
        <f ca="1">IF(L333&gt;0,N333*100/L333,0)</f>
        <v>26.666666666666668</v>
      </c>
      <c r="P333" s="550">
        <f ca="1">IF(M333&gt;0,N333*100/M333,0)</f>
        <v>33.272171253822627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102000</v>
      </c>
      <c r="M335" s="425">
        <f ca="1">M338+M341</f>
        <v>81750</v>
      </c>
      <c r="N335" s="425">
        <f ca="1">N338+N341</f>
        <v>27200</v>
      </c>
      <c r="O335" s="425">
        <f ca="1">IF(L335&gt;0,N335*100/L335,0)</f>
        <v>26.666666666666668</v>
      </c>
      <c r="P335" s="425">
        <f ca="1">IF(M335&gt;0,N335*100/M335,0)</f>
        <v>33.272171253822627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102000</v>
      </c>
      <c r="M336" s="425">
        <f ca="1">M337+M338</f>
        <v>81750</v>
      </c>
      <c r="N336" s="425">
        <f ca="1">N337+N338</f>
        <v>27200</v>
      </c>
      <c r="O336" s="425">
        <f ca="1">IF(L336&gt;0,N336*100/L336,0)</f>
        <v>26.666666666666668</v>
      </c>
      <c r="P336" s="425">
        <f ca="1">IF(M336&gt;0,N336*100/M336,0)</f>
        <v>33.272171253822627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IFERROR(__xludf.DUMMYFUNCTION("IMPORTRANGE(""https://docs.google.com/spreadsheets/d/1-uDff_7J0KD5mKrp0Vvzr7lt3OU09vwQwhkpOPPYv2Y/edit?usp=sharing"",""งบพรบ!ES82"")"),102000)</f>
        <v>102000</v>
      </c>
      <c r="M338" s="425">
        <f ca="1">IFERROR(__xludf.DUMMYFUNCTION("IMPORTRANGE(""https://docs.google.com/spreadsheets/d/1-uDff_7J0KD5mKrp0Vvzr7lt3OU09vwQwhkpOPPYv2Y/edit?usp=sharing"",""งบพรบ!EX82"")"),81750)</f>
        <v>81750</v>
      </c>
      <c r="N338" s="425">
        <f ca="1">IFERROR(__xludf.DUMMYFUNCTION("IMPORTRANGE(""https://docs.google.com/spreadsheets/d/1-uDff_7J0KD5mKrp0Vvzr7lt3OU09vwQwhkpOPPYv2Y/edit?usp=sharing"",""งบพรบ!EZ82"")"),27200)</f>
        <v>27200</v>
      </c>
      <c r="O338" s="425">
        <f ca="1">IF(L338&gt;0,N338*100/L338,0)</f>
        <v>26.666666666666668</v>
      </c>
      <c r="P338" s="425">
        <f ca="1">IF(M338&gt;0,N338*100/M338,0)</f>
        <v>33.272171253822627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IFERROR(__xludf.DUMMYFUNCTION("IMPORTRANGE(""https://docs.google.com/spreadsheets/d/1-uDff_7J0KD5mKrp0Vvzr7lt3OU09vwQwhkpOPPYv2Y/edit?usp=sharing"",""งบพรบ!EV82"")"),0)</f>
        <v>0</v>
      </c>
      <c r="M341" s="425">
        <f ca="1">IFERROR(__xludf.DUMMYFUNCTION("IMPORTRANGE(""https://docs.google.com/spreadsheets/d/1-uDff_7J0KD5mKrp0Vvzr7lt3OU09vwQwhkpOPPYv2Y/edit?usp=sharing"",""งบพรบ!EY82"")"),0)</f>
        <v>0</v>
      </c>
      <c r="N341" s="425">
        <f ca="1">IFERROR(__xludf.DUMMYFUNCTION("IMPORTRANGE(""https://docs.google.com/spreadsheets/d/1-uDff_7J0KD5mKrp0Vvzr7lt3OU09vwQwhkpOPPYv2Y/edit?usp=sharing"",""งบพรบ!FA82"")"),0)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510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IFERROR(__xludf.DUMMYFUNCTION("IMPORTRANGE(""https://docs.google.com/spreadsheets/d/1eHaY18a8A9IcSdp1K8H6x8fbOy06t2VsZHhMHf-1x7Y/edit?usp=sharing"",""แผน!EK82"")"),800)</f>
        <v>800</v>
      </c>
      <c r="J344" s="424">
        <f ca="1">IFERROR(__xludf.DUMMYFUNCTION("IMPORTRANGE(""https://docs.google.com/spreadsheets/d/1awYsYK3VOup2i3Pq_Yjnu8DRu_mYwSBnCR2QPthd0rU/edit?usp=sharing"",""ศูนย์ยกเว้นโฉนด!D82"")"),510)</f>
        <v>510</v>
      </c>
      <c r="K344" s="425">
        <f ca="1">IF(I344&gt;0,J344*100/I344,0)</f>
        <v>63.75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IFERROR(__xludf.DUMMYFUNCTION("IMPORTRANGE(""https://docs.google.com/spreadsheets/d/1eHaY18a8A9IcSdp1K8H6x8fbOy06t2VsZHhMHf-1x7Y/edit?usp=sharing"",""แผน!EL82"")"),1)</f>
        <v>1</v>
      </c>
      <c r="J346" s="424">
        <f ca="1">IFERROR(__xludf.DUMMYFUNCTION("IMPORTRANGE(""https://docs.google.com/spreadsheets/d/1awYsYK3VOup2i3Pq_Yjnu8DRu_mYwSBnCR2QPthd0rU/edit?usp=sharing"",""ศูนย์รวม!E82"")"),2)</f>
        <v>2</v>
      </c>
      <c r="K346" s="425">
        <f ca="1">IF(I346&gt;0,J346*100/I346,0)</f>
        <v>200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IFERROR(__xludf.DUMMYFUNCTION("IMPORTRANGE(""https://docs.google.com/spreadsheets/d/1awYsYK3VOup2i3Pq_Yjnu8DRu_mYwSBnCR2QPthd0rU/edit?usp=sharing"",""ศูนย์ยกเว้นโฉนด!F82"")"),0)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IFERROR(__xludf.DUMMYFUNCTION("IMPORTRANGE(""https://docs.google.com/spreadsheets/d/1awYsYK3VOup2i3Pq_Yjnu8DRu_mYwSBnCR2QPthd0rU/edit?usp=sharing"",""ศูนย์ยกเว้นโฉนด!G82"")"),0)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IFERROR(__xludf.DUMMYFUNCTION("IMPORTRANGE(""https://docs.google.com/spreadsheets/d/1awYsYK3VOup2i3Pq_Yjnu8DRu_mYwSBnCR2QPthd0rU/edit?usp=sharing"",""ศูนย์ยกเว้นโฉนด!H82"")"),0)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810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IFERROR(__xludf.DUMMYFUNCTION("IMPORTRANGE(""https://docs.google.com/spreadsheets/d/1awYsYK3VOup2i3Pq_Yjnu8DRu_mYwSBnCR2QPthd0rU/edit?usp=sharing"",""โฉนดM3!G82"")"),600)</f>
        <v>600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IFERROR(__xludf.DUMMYFUNCTION("IMPORTRANGE(""https://docs.google.com/spreadsheets/d/1awYsYK3VOup2i3Pq_Yjnu8DRu_mYwSBnCR2QPthd0rU/edit?usp=sharing"",""โฉนดM3!H82"")"),210)</f>
        <v>210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241735</v>
      </c>
      <c r="M356" s="550">
        <f ca="1">M357+M358</f>
        <v>215735</v>
      </c>
      <c r="N356" s="550">
        <f ca="1">N357+N358</f>
        <v>41556.57</v>
      </c>
      <c r="O356" s="550">
        <f ca="1">IF(L356&gt;0,N356*100/L356,0)</f>
        <v>17.190961176494923</v>
      </c>
      <c r="P356" s="550">
        <f ca="1">IF(M356&gt;0,N356*100/M356,0)</f>
        <v>19.262785361670566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241735</v>
      </c>
      <c r="M358" s="425">
        <f ca="1">M361+M364</f>
        <v>215735</v>
      </c>
      <c r="N358" s="425">
        <f ca="1">N361+N364</f>
        <v>41556.57</v>
      </c>
      <c r="O358" s="425">
        <f ca="1">IF(L358&gt;0,N358*100/L358,0)</f>
        <v>17.190961176494923</v>
      </c>
      <c r="P358" s="425">
        <f ca="1">IF(M358&gt;0,N358*100/M358,0)</f>
        <v>19.262785361670566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241735</v>
      </c>
      <c r="M359" s="425">
        <f ca="1">M360+M361</f>
        <v>215735</v>
      </c>
      <c r="N359" s="425">
        <f ca="1">N360+N361</f>
        <v>41556.57</v>
      </c>
      <c r="O359" s="425">
        <f ca="1">IF(L359&gt;0,N359*100/L359,0)</f>
        <v>17.190961176494923</v>
      </c>
      <c r="P359" s="425">
        <f ca="1">IF(M359&gt;0,N359*100/M359,0)</f>
        <v>19.262785361670566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IFERROR(__xludf.DUMMYFUNCTION("IMPORTRANGE(""https://docs.google.com/spreadsheets/d/1-uDff_7J0KD5mKrp0Vvzr7lt3OU09vwQwhkpOPPYv2Y/edit?usp=sharing"",""งบพรบ!FC82"")"),241735)</f>
        <v>241735</v>
      </c>
      <c r="M361" s="425">
        <f ca="1">IFERROR(__xludf.DUMMYFUNCTION("IMPORTRANGE(""https://docs.google.com/spreadsheets/d/1-uDff_7J0KD5mKrp0Vvzr7lt3OU09vwQwhkpOPPYv2Y/edit?usp=sharing"",""งบพรบ!FH82"")"),215735)</f>
        <v>215735</v>
      </c>
      <c r="N361" s="425">
        <f ca="1">IFERROR(__xludf.DUMMYFUNCTION("IMPORTRANGE(""https://docs.google.com/spreadsheets/d/1-uDff_7J0KD5mKrp0Vvzr7lt3OU09vwQwhkpOPPYv2Y/edit?usp=sharing"",""งบพรบ!FJ82"")"),41556.57)</f>
        <v>41556.57</v>
      </c>
      <c r="O361" s="425">
        <f ca="1">IF(L361&gt;0,N361*100/L361,0)</f>
        <v>17.190961176494923</v>
      </c>
      <c r="P361" s="425">
        <f ca="1">IF(M361&gt;0,N361*100/M361,0)</f>
        <v>19.262785361670566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IFERROR(__xludf.DUMMYFUNCTION("IMPORTRANGE(""https://docs.google.com/spreadsheets/d/1-uDff_7J0KD5mKrp0Vvzr7lt3OU09vwQwhkpOPPYv2Y/edit?usp=sharing"",""งบพรบ!FF82"")"),0)</f>
        <v>0</v>
      </c>
      <c r="M364" s="425">
        <f ca="1">IFERROR(__xludf.DUMMYFUNCTION("IMPORTRANGE(""https://docs.google.com/spreadsheets/d/1-uDff_7J0KD5mKrp0Vvzr7lt3OU09vwQwhkpOPPYv2Y/edit?usp=sharing"",""งบพรบ!FI82"")"),0)</f>
        <v>0</v>
      </c>
      <c r="N364" s="425">
        <f ca="1">IFERROR(__xludf.DUMMYFUNCTION("IMPORTRANGE(""https://docs.google.com/spreadsheets/d/1-uDff_7J0KD5mKrp0Vvzr7lt3OU09vwQwhkpOPPYv2Y/edit?usp=sharing"",""งบพรบ!FK82"")"),0)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148</v>
      </c>
      <c r="J365" s="438">
        <f ca="1">J371</f>
        <v>25</v>
      </c>
      <c r="K365" s="439">
        <f ca="1">IF(I365&gt;0,J365*100/I365,0)</f>
        <v>16.891891891891891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IFERROR(__xludf.DUMMYFUNCTION("IMPORTRANGE(""https://docs.google.com/spreadsheets/d/1tdoBKaGub7dwA3U6UFTqxio9LNnvDCQjHKmttSEBsFQ/edit?usp=sharing"",""จัดที่ดิน!AB82"")"),4)</f>
        <v>4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IFERROR(__xludf.DUMMYFUNCTION("IMPORTRANGE(""https://docs.google.com/spreadsheets/d/1eHaY18a8A9IcSdp1K8H6x8fbOy06t2VsZHhMHf-1x7Y/edit?usp=sharing"",""แผน!EW82"")"),1150)</f>
        <v>1150</v>
      </c>
      <c r="J368" s="528">
        <f ca="1">IFERROR(__xludf.DUMMYFUNCTION("IMPORTRANGE(""https://docs.google.com/spreadsheets/d/1tdoBKaGub7dwA3U6UFTqxio9LNnvDCQjHKmttSEBsFQ/edit?usp=sharing"",""จัดที่ดิน!AC82"")"),16.62)</f>
        <v>16.62</v>
      </c>
      <c r="K368" s="425">
        <f ca="1">IF(I368&gt;0,J368*100/I368,0)</f>
        <v>1.4452173913043478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IFERROR(__xludf.DUMMYFUNCTION("IMPORTRANGE(""https://docs.google.com/spreadsheets/d/1eHaY18a8A9IcSdp1K8H6x8fbOy06t2VsZHhMHf-1x7Y/edit?usp=sharing"",""แผน!EX82"")"),220)</f>
        <v>220</v>
      </c>
      <c r="J369" s="424">
        <f ca="1">IFERROR(__xludf.DUMMYFUNCTION("IMPORTRANGE(""https://docs.google.com/spreadsheets/d/1tdoBKaGub7dwA3U6UFTqxio9LNnvDCQjHKmttSEBsFQ/edit?usp=sharing"",""จัดที่ดิน!AD82"")"),23)</f>
        <v>23</v>
      </c>
      <c r="K369" s="425">
        <f ca="1">IF(I369&gt;0,J369*100/I369,0)</f>
        <v>10.454545454545455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IFERROR(__xludf.DUMMYFUNCTION("IMPORTRANGE(""https://docs.google.com/spreadsheets/d/1tdoBKaGub7dwA3U6UFTqxio9LNnvDCQjHKmttSEBsFQ/edit?usp=sharing"",""จัดที่ดิน!AE82"")"),177.36)</f>
        <v>177.36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IFERROR(__xludf.DUMMYFUNCTION("IMPORTRANGE(""https://docs.google.com/spreadsheets/d/1eHaY18a8A9IcSdp1K8H6x8fbOy06t2VsZHhMHf-1x7Y/edit?usp=sharing"",""แผน!EY82"")"),148)</f>
        <v>148</v>
      </c>
      <c r="J371" s="424">
        <f ca="1">IFERROR(__xludf.DUMMYFUNCTION("IMPORTRANGE(""https://docs.google.com/spreadsheets/d/1tdoBKaGub7dwA3U6UFTqxio9LNnvDCQjHKmttSEBsFQ/edit?usp=sharing"",""จัดที่ดิน!AF82"")"),25)</f>
        <v>25</v>
      </c>
      <c r="K371" s="425">
        <f ca="1">IF(I371&gt;0,J371*100/I371,0)</f>
        <v>16.891891891891891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IFERROR(__xludf.DUMMYFUNCTION("IMPORTRANGE(""https://docs.google.com/spreadsheets/d/1tdoBKaGub7dwA3U6UFTqxio9LNnvDCQjHKmttSEBsFQ/edit?usp=sharing"",""จัดที่ดิน!AG82"")"),186.93)</f>
        <v>186.93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IFERROR(__xludf.DUMMYFUNCTION("IMPORTRANGE(""https://docs.google.com/spreadsheets/d/1-uDff_7J0KD5mKrp0Vvzr7lt3OU09vwQwhkpOPPYv2Y/edit?usp=sharing"",""งบพรบ!FM82"")"),0)</f>
        <v>0</v>
      </c>
      <c r="M382" s="544">
        <f ca="1">IFERROR(__xludf.DUMMYFUNCTION("IMPORTRANGE(""https://docs.google.com/spreadsheets/d/1-uDff_7J0KD5mKrp0Vvzr7lt3OU09vwQwhkpOPPYv2Y/edit?usp=sharing"",""งบพรบ!FR82"")"),0)</f>
        <v>0</v>
      </c>
      <c r="N382" s="544">
        <f ca="1">IFERROR(__xludf.DUMMYFUNCTION("IMPORTRANGE(""https://docs.google.com/spreadsheets/d/1-uDff_7J0KD5mKrp0Vvzr7lt3OU09vwQwhkpOPPYv2Y/edit?usp=sharing"",""งบพรบ!FT82"")"),0)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IFERROR(__xludf.DUMMYFUNCTION("IMPORTRANGE(""https://docs.google.com/spreadsheets/d/1-uDff_7J0KD5mKrp0Vvzr7lt3OU09vwQwhkpOPPYv2Y/edit?usp=sharing"",""งบพรบ!FP82"")"),0)</f>
        <v>0</v>
      </c>
      <c r="M385" s="544">
        <f ca="1">IFERROR(__xludf.DUMMYFUNCTION("IMPORTRANGE(""https://docs.google.com/spreadsheets/d/1-uDff_7J0KD5mKrp0Vvzr7lt3OU09vwQwhkpOPPYv2Y/edit?usp=sharing"",""งบพรบ!FS82"")"),0)</f>
        <v>0</v>
      </c>
      <c r="N385" s="544">
        <f ca="1">IFERROR(__xludf.DUMMYFUNCTION("IMPORTRANGE(""https://docs.google.com/spreadsheets/d/1-uDff_7J0KD5mKrp0Vvzr7lt3OU09vwQwhkpOPPYv2Y/edit?usp=sharing"",""งบพรบ!FU82"")"),0)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C9D1-B558-40DF-9DBC-63EFD06A94FF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169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1064345</v>
      </c>
      <c r="M18" s="709">
        <f ca="1">M19+M20</f>
        <v>838445</v>
      </c>
      <c r="N18" s="709">
        <f ca="1">N19+N20</f>
        <v>278284.36</v>
      </c>
      <c r="O18" s="709">
        <f ca="1">IF(L18&gt;0,N18*100/L18,0)</f>
        <v>26.146067299606802</v>
      </c>
      <c r="P18" s="709">
        <f ca="1">IF(M18&gt;0,N18*100/M18,0)</f>
        <v>33.190532473805675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1064345</v>
      </c>
      <c r="M20" s="822">
        <f ca="1">M23+M26</f>
        <v>838445</v>
      </c>
      <c r="N20" s="822">
        <f ca="1">N23+N26</f>
        <v>278284.36</v>
      </c>
      <c r="O20" s="822">
        <f ca="1">IF(L20&gt;0,N20*100/L20,0)</f>
        <v>26.146067299606802</v>
      </c>
      <c r="P20" s="822">
        <f ca="1">IF(M20&gt;0,N20*100/M20,0)</f>
        <v>33.190532473805675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1064345</v>
      </c>
      <c r="M21" s="425">
        <f ca="1">M22+M23</f>
        <v>838445</v>
      </c>
      <c r="N21" s="425">
        <f ca="1">N22+N23</f>
        <v>278284.36</v>
      </c>
      <c r="O21" s="425">
        <f ca="1">IF(L21&gt;0,N21*100/L21,0)</f>
        <v>26.146067299606802</v>
      </c>
      <c r="P21" s="425">
        <f ca="1">IF(M21&gt;0,N21*100/M21,0)</f>
        <v>33.190532473805675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1064345</v>
      </c>
      <c r="M23" s="425">
        <f ca="1">M49+M64+M77+M99+M130+M144+M162+M191+M178+M271+M287+M308+M325+M338+M361+M382</f>
        <v>838445</v>
      </c>
      <c r="N23" s="425">
        <f ca="1">N49+N64+N77+N99+N130+N144+N162+N191+N178+N271+N287+N308+N325+N338+N361+N382</f>
        <v>278284.36</v>
      </c>
      <c r="O23" s="425">
        <f ca="1">IF(L23&gt;0,N23*100/L23,0)</f>
        <v>26.146067299606802</v>
      </c>
      <c r="P23" s="425">
        <f ca="1">IF(M23&gt;0,N23*100/M23,0)</f>
        <v>33.190532473805675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1064345</v>
      </c>
      <c r="M40" s="814">
        <f ca="1">M44+M59+M72+M94+M125+M139+M157+M173+M186+M266+M282+M303+M320+M333+M356</f>
        <v>838445</v>
      </c>
      <c r="N40" s="814">
        <f ca="1">N44+N59+N72+N94+N125+N139+N157+N173+N186+N266+N282+N303+N320+N333+N356</f>
        <v>278284.36</v>
      </c>
      <c r="O40" s="814">
        <f ca="1">IF(L40&gt;0,N40*100/L40,0)</f>
        <v>26.146067299606802</v>
      </c>
      <c r="P40" s="814">
        <f ca="1">IF(M40&gt;0,N40*100/M40,0)</f>
        <v>33.190532473805675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129800</v>
      </c>
      <c r="M44" s="799">
        <f ca="1">M45+M46</f>
        <v>134300</v>
      </c>
      <c r="N44" s="799">
        <f ca="1">N45+N46</f>
        <v>19500</v>
      </c>
      <c r="O44" s="799">
        <f ca="1">IF(L44&gt;0,N44*100/L44,0)</f>
        <v>15.023112480739599</v>
      </c>
      <c r="P44" s="799">
        <f ca="1">IF(M44&gt;0,N44*100/M44,0)</f>
        <v>14.519731943410276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129800</v>
      </c>
      <c r="M46" s="788">
        <f ca="1">M49+M52</f>
        <v>134300</v>
      </c>
      <c r="N46" s="788">
        <f ca="1">N49+N52</f>
        <v>19500</v>
      </c>
      <c r="O46" s="788">
        <f ca="1">IF(L46&gt;0,N46*100/L46,0)</f>
        <v>15.023112480739599</v>
      </c>
      <c r="P46" s="788">
        <f ca="1">IF(M46&gt;0,N46*100/M46,0)</f>
        <v>14.519731943410276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129800</v>
      </c>
      <c r="M47" s="425">
        <f ca="1">M48+M49</f>
        <v>134300</v>
      </c>
      <c r="N47" s="425">
        <f ca="1">N48+N49</f>
        <v>19500</v>
      </c>
      <c r="O47" s="425">
        <f ca="1">IF(L47&gt;0,N47*100/L47,0)</f>
        <v>15.023112480739599</v>
      </c>
      <c r="P47" s="425">
        <f ca="1">IF(M47&gt;0,N47*100/M47,0)</f>
        <v>14.519731943410276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IFERROR(__xludf.DUMMYFUNCTION("IMPORTRANGE(""https://docs.google.com/spreadsheets/d/1-uDff_7J0KD5mKrp0Vvzr7lt3OU09vwQwhkpOPPYv2Y/edit?usp=sharing"",""งบพรบ!P83"")"),129800)</f>
        <v>129800</v>
      </c>
      <c r="M49" s="425">
        <f ca="1">IFERROR(__xludf.DUMMYFUNCTION("IMPORTRANGE(""https://docs.google.com/spreadsheets/d/1-uDff_7J0KD5mKrp0Vvzr7lt3OU09vwQwhkpOPPYv2Y/edit?usp=sharing"",""งบพรบ!V83"")"),134300)</f>
        <v>134300</v>
      </c>
      <c r="N49" s="425">
        <f ca="1">IFERROR(__xludf.DUMMYFUNCTION("IMPORTRANGE(""https://docs.google.com/spreadsheets/d/1-uDff_7J0KD5mKrp0Vvzr7lt3OU09vwQwhkpOPPYv2Y/edit?usp=sharing"",""งบพรบ!Y83"")"),19500)</f>
        <v>19500</v>
      </c>
      <c r="O49" s="425">
        <f ca="1">IF(L49&gt;0,N49*100/L49,0)</f>
        <v>15.023112480739599</v>
      </c>
      <c r="P49" s="425">
        <f ca="1">IF(M49&gt;0,N49*100/M49,0)</f>
        <v>14.519731943410276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IFERROR(__xludf.DUMMYFUNCTION("IMPORTRANGE(""https://docs.google.com/spreadsheets/d/1-uDff_7J0KD5mKrp0Vvzr7lt3OU09vwQwhkpOPPYv2Y/edit?usp=sharing"",""งบพรบ!S83"")"),0)</f>
        <v>0</v>
      </c>
      <c r="M52" s="425">
        <f ca="1">IFERROR(__xludf.DUMMYFUNCTION("IMPORTRANGE(""https://docs.google.com/spreadsheets/d/1-uDff_7J0KD5mKrp0Vvzr7lt3OU09vwQwhkpOPPYv2Y/edit?usp=sharing"",""งบพรบ!W83"")"),0)</f>
        <v>0</v>
      </c>
      <c r="N52" s="425">
        <f ca="1">IFERROR(__xludf.DUMMYFUNCTION("IMPORTRANGE(""https://docs.google.com/spreadsheets/d/1-uDff_7J0KD5mKrp0Vvzr7lt3OU09vwQwhkpOPPYv2Y/edit?usp=sharing"",""งบพรบ!Z83"")"),0)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412000</v>
      </c>
      <c r="M59" s="768">
        <f ca="1">M60+M61</f>
        <v>310850</v>
      </c>
      <c r="N59" s="768">
        <f ca="1">N60+N61</f>
        <v>141424.35999999999</v>
      </c>
      <c r="O59" s="768">
        <f ca="1">IF(L59&gt;0,N59*100/L59,0)</f>
        <v>34.326300970873781</v>
      </c>
      <c r="P59" s="768">
        <f ca="1">IF(M59&gt;0,N59*100/M59,0)</f>
        <v>45.496014154737004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412000</v>
      </c>
      <c r="M61" s="757">
        <f ca="1">M64+M67</f>
        <v>310850</v>
      </c>
      <c r="N61" s="757">
        <f ca="1">N64+N67</f>
        <v>141424.35999999999</v>
      </c>
      <c r="O61" s="757">
        <f ca="1">IF(L61&gt;0,N61*100/L61,0)</f>
        <v>34.326300970873781</v>
      </c>
      <c r="P61" s="757">
        <f ca="1">IF(M61&gt;0,N61*100/M61,0)</f>
        <v>45.496014154737004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412000</v>
      </c>
      <c r="M62" s="425">
        <f ca="1">M63+M64</f>
        <v>310850</v>
      </c>
      <c r="N62" s="425">
        <f ca="1">N63+N64</f>
        <v>141424.35999999999</v>
      </c>
      <c r="O62" s="425">
        <f ca="1">IF(L62&gt;0,N62*100/L62,0)</f>
        <v>34.326300970873781</v>
      </c>
      <c r="P62" s="425">
        <f ca="1">IF(M62&gt;0,N62*100/M62,0)</f>
        <v>45.496014154737004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IFERROR(__xludf.DUMMYFUNCTION("IMPORTRANGE(""https://docs.google.com/spreadsheets/d/1-uDff_7J0KD5mKrp0Vvzr7lt3OU09vwQwhkpOPPYv2Y/edit?usp=sharing"",""งบพรบ!AC83"")"),412000)</f>
        <v>412000</v>
      </c>
      <c r="M64" s="425">
        <f ca="1">IFERROR(__xludf.DUMMYFUNCTION("IMPORTRANGE(""https://docs.google.com/spreadsheets/d/1-uDff_7J0KD5mKrp0Vvzr7lt3OU09vwQwhkpOPPYv2Y/edit?usp=sharing"",""งบพรบ!AH83"")"),310850)</f>
        <v>310850</v>
      </c>
      <c r="N64" s="425">
        <f ca="1">IFERROR(__xludf.DUMMYFUNCTION("IMPORTRANGE(""https://docs.google.com/spreadsheets/d/1-uDff_7J0KD5mKrp0Vvzr7lt3OU09vwQwhkpOPPYv2Y/edit?usp=sharing"",""งบพรบ!AJ83"")"),141424.36)</f>
        <v>141424.35999999999</v>
      </c>
      <c r="O64" s="425">
        <f ca="1">IF(L64&gt;0,N64*100/L64,0)</f>
        <v>34.326300970873781</v>
      </c>
      <c r="P64" s="425">
        <f ca="1">IF(M64&gt;0,N64*100/M64,0)</f>
        <v>45.496014154737004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IFERROR(__xludf.DUMMYFUNCTION("IMPORTRANGE(""https://docs.google.com/spreadsheets/d/1-uDff_7J0KD5mKrp0Vvzr7lt3OU09vwQwhkpOPPYv2Y/edit?usp=sharing"",""งบพรบ!AF83"")"),0)</f>
        <v>0</v>
      </c>
      <c r="M67" s="752">
        <f ca="1">IFERROR(__xludf.DUMMYFUNCTION("IMPORTRANGE(""https://docs.google.com/spreadsheets/d/1-uDff_7J0KD5mKrp0Vvzr7lt3OU09vwQwhkpOPPYv2Y/edit?usp=sharing"",""งบพรบ!AI83"")"),0)</f>
        <v>0</v>
      </c>
      <c r="N67" s="752">
        <f ca="1">IFERROR(__xludf.DUMMYFUNCTION("IMPORTRANGE(""https://docs.google.com/spreadsheets/d/1-uDff_7J0KD5mKrp0Vvzr7lt3OU09vwQwhkpOPPYv2Y/edit?usp=sharing"",""งบพรบ!AK83"")"),0)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hidden="1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IFERROR(__xludf.DUMMYFUNCTION("IMPORTRANGE(""https://docs.google.com/spreadsheets/d/1-uDff_7J0KD5mKrp0Vvzr7lt3OU09vwQwhkpOPPYv2Y/edit?usp=sharing"",""งบพรบ!AM83"")"),0)</f>
        <v>0</v>
      </c>
      <c r="M77" s="425">
        <f ca="1">IFERROR(__xludf.DUMMYFUNCTION("IMPORTRANGE(""https://docs.google.com/spreadsheets/d/1-uDff_7J0KD5mKrp0Vvzr7lt3OU09vwQwhkpOPPYv2Y/edit?usp=sharing"",""งบพรบ!AR83"")"),0)</f>
        <v>0</v>
      </c>
      <c r="N77" s="425">
        <f ca="1">IFERROR(__xludf.DUMMYFUNCTION("IMPORTRANGE(""https://docs.google.com/spreadsheets/d/1-uDff_7J0KD5mKrp0Vvzr7lt3OU09vwQwhkpOPPYv2Y/edit?usp=sharing"",""งบพรบ!AT83"")"),0)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IFERROR(__xludf.DUMMYFUNCTION("IMPORTRANGE(""https://docs.google.com/spreadsheets/d/1-uDff_7J0KD5mKrp0Vvzr7lt3OU09vwQwhkpOPPYv2Y/edit?usp=sharing"",""งบพรบ!AP83"")"),0)</f>
        <v>0</v>
      </c>
      <c r="M80" s="425">
        <f ca="1">IFERROR(__xludf.DUMMYFUNCTION("IMPORTRANGE(""https://docs.google.com/spreadsheets/d/1-uDff_7J0KD5mKrp0Vvzr7lt3OU09vwQwhkpOPPYv2Y/edit?usp=sharing"",""งบพรบ!AS83"")"),0)</f>
        <v>0</v>
      </c>
      <c r="N80" s="425">
        <f ca="1">IFERROR(__xludf.DUMMYFUNCTION("IMPORTRANGE(""https://docs.google.com/spreadsheets/d/1-uDff_7J0KD5mKrp0Vvzr7lt3OU09vwQwhkpOPPYv2Y/edit?usp=sharing"",""งบพรบ!AU83"")"),0)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IFERROR(__xludf.DUMMYFUNCTION("IMPORTRANGE(""https://docs.google.com/spreadsheets/d/1eHaY18a8A9IcSdp1K8H6x8fbOy06t2VsZHhMHf-1x7Y/edit?usp=sharing"",""แผน!H83"")"),0)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IFERROR(__xludf.DUMMYFUNCTION("IMPORTRANGE(""https://docs.google.com/spreadsheets/d/1eHaY18a8A9IcSdp1K8H6x8fbOy06t2VsZHhMHf-1x7Y/edit?usp=sharing"",""แผน!I83"")"),0)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IFERROR(__xludf.DUMMYFUNCTION("IMPORTRANGE(""https://docs.google.com/spreadsheets/d/1eHaY18a8A9IcSdp1K8H6x8fbOy06t2VsZHhMHf-1x7Y/edit?usp=sharing"",""แผน!F83"")"),0)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IFERROR(__xludf.DUMMYFUNCTION("IMPORTRANGE(""https://docs.google.com/spreadsheets/d/1eHaY18a8A9IcSdp1K8H6x8fbOy06t2VsZHhMHf-1x7Y/edit?usp=sharing"",""แผน!G83"")"),0)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IFERROR(__xludf.DUMMYFUNCTION("IMPORTRANGE(""https://docs.google.com/spreadsheets/d/1eHaY18a8A9IcSdp1K8H6x8fbOy06t2VsZHhMHf-1x7Y/edit?usp=sharing"",""แผน!D83"")"),0)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IFERROR(__xludf.DUMMYFUNCTION("IMPORTRANGE(""https://docs.google.com/spreadsheets/d/1eHaY18a8A9IcSdp1K8H6x8fbOy06t2VsZHhMHf-1x7Y/edit?usp=sharing"",""แผน!E83"")"),0)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IFERROR(__xludf.DUMMYFUNCTION("IMPORTRANGE(""https://docs.google.com/spreadsheets/d/1eHaY18a8A9IcSdp1K8H6x8fbOy06t2VsZHhMHf-1x7Y/edit?usp=sharing"",""แผน!J83"")"),0)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IFERROR(__xludf.DUMMYFUNCTION("IMPORTRANGE(""https://docs.google.com/spreadsheets/d/1-uDff_7J0KD5mKrp0Vvzr7lt3OU09vwQwhkpOPPYv2Y/edit?usp=sharing"",""งบพรบ!AW83"")"),0)</f>
        <v>0</v>
      </c>
      <c r="M99" s="425">
        <f ca="1">IFERROR(__xludf.DUMMYFUNCTION("IMPORTRANGE(""https://docs.google.com/spreadsheets/d/1-uDff_7J0KD5mKrp0Vvzr7lt3OU09vwQwhkpOPPYv2Y/edit?usp=sharing"",""งบพรบ!BB83"")"),0)</f>
        <v>0</v>
      </c>
      <c r="N99" s="425">
        <f ca="1">IFERROR(__xludf.DUMMYFUNCTION("IMPORTRANGE(""https://docs.google.com/spreadsheets/d/1-uDff_7J0KD5mKrp0Vvzr7lt3OU09vwQwhkpOPPYv2Y/edit?usp=sharing"",""งบพรบ!BD83"")"),0)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IFERROR(__xludf.DUMMYFUNCTION("IMPORTRANGE(""https://docs.google.com/spreadsheets/d/1-uDff_7J0KD5mKrp0Vvzr7lt3OU09vwQwhkpOPPYv2Y/edit?usp=sharing"",""งบพรบ!AZ83"")"),0)</f>
        <v>0</v>
      </c>
      <c r="M102" s="425">
        <f ca="1">IFERROR(__xludf.DUMMYFUNCTION("IMPORTRANGE(""https://docs.google.com/spreadsheets/d/1-uDff_7J0KD5mKrp0Vvzr7lt3OU09vwQwhkpOPPYv2Y/edit?usp=sharing"",""งบพรบ!BC83"")"),0)</f>
        <v>0</v>
      </c>
      <c r="N102" s="425">
        <f ca="1">IFERROR(__xludf.DUMMYFUNCTION("IMPORTRANGE(""https://docs.google.com/spreadsheets/d/1-uDff_7J0KD5mKrp0Vvzr7lt3OU09vwQwhkpOPPYv2Y/edit?usp=sharing"",""งบพรบ!BE83"")"),0)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IFERROR(__xludf.DUMMYFUNCTION("IMPORTRANGE(""https://docs.google.com/spreadsheets/d/1eHaY18a8A9IcSdp1K8H6x8fbOy06t2VsZHhMHf-1x7Y/edit?usp=sharing"",""แผน!N83"")"),0)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IFERROR(__xludf.DUMMYFUNCTION("IMPORTRANGE(""https://docs.google.com/spreadsheets/d/1eHaY18a8A9IcSdp1K8H6x8fbOy06t2VsZHhMHf-1x7Y/edit?usp=sharing"",""แผน!O83"")"),0)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IFERROR(__xludf.DUMMYFUNCTION("IMPORTRANGE(""https://docs.google.com/spreadsheets/d/1eHaY18a8A9IcSdp1K8H6x8fbOy06t2VsZHhMHf-1x7Y/edit?usp=sharing"",""แผน!R83"")"),0)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IFERROR(__xludf.DUMMYFUNCTION("IMPORTRANGE(""https://docs.google.com/spreadsheets/d/1-uDff_7J0KD5mKrp0Vvzr7lt3OU09vwQwhkpOPPYv2Y/edit?usp=sharing"",""งบพรบ!BG83"")"),0)</f>
        <v>0</v>
      </c>
      <c r="M130" s="728">
        <f ca="1">IFERROR(__xludf.DUMMYFUNCTION("IMPORTRANGE(""https://docs.google.com/spreadsheets/d/1-uDff_7J0KD5mKrp0Vvzr7lt3OU09vwQwhkpOPPYv2Y/edit?usp=sharing"",""งบพรบ!BL83"")"),0)</f>
        <v>0</v>
      </c>
      <c r="N130" s="728">
        <f ca="1">IFERROR(__xludf.DUMMYFUNCTION("IMPORTRANGE(""https://docs.google.com/spreadsheets/d/1-uDff_7J0KD5mKrp0Vvzr7lt3OU09vwQwhkpOPPYv2Y/edit?usp=sharing"",""งบพรบ!BN83"")"),0)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IFERROR(__xludf.DUMMYFUNCTION("IMPORTRANGE(""https://docs.google.com/spreadsheets/d/1-uDff_7J0KD5mKrp0Vvzr7lt3OU09vwQwhkpOPPYv2Y/edit?usp=sharing"",""งบพรบ!BJ83"")"),0)</f>
        <v>0</v>
      </c>
      <c r="M133" s="728">
        <f ca="1">IFERROR(__xludf.DUMMYFUNCTION("IMPORTRANGE(""https://docs.google.com/spreadsheets/d/1-uDff_7J0KD5mKrp0Vvzr7lt3OU09vwQwhkpOPPYv2Y/edit?usp=sharing"",""งบพรบ!BM83"")"),0)</f>
        <v>0</v>
      </c>
      <c r="N133" s="728">
        <f ca="1">IFERROR(__xludf.DUMMYFUNCTION("IMPORTRANGE(""https://docs.google.com/spreadsheets/d/1-uDff_7J0KD5mKrp0Vvzr7lt3OU09vwQwhkpOPPYv2Y/edit?usp=sharing"",""งบพรบ!BO83"")"),0)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hidden="1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hidden="1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hidden="1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hidden="1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hidden="1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0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hidden="1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0</v>
      </c>
      <c r="M139" s="550">
        <f ca="1">M140+M141</f>
        <v>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hidden="1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hidden="1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IFERROR(__xludf.DUMMYFUNCTION("IMPORTRANGE(""https://docs.google.com/spreadsheets/d/1-uDff_7J0KD5mKrp0Vvzr7lt3OU09vwQwhkpOPPYv2Y/edit?usp=sharing"",""งบพรบ!BQ83"")"),0)</f>
        <v>0</v>
      </c>
      <c r="M144" s="425">
        <f ca="1">IFERROR(__xludf.DUMMYFUNCTION("IMPORTRANGE(""https://docs.google.com/spreadsheets/d/1-uDff_7J0KD5mKrp0Vvzr7lt3OU09vwQwhkpOPPYv2Y/edit?usp=sharing"",""งบพรบ!BV83"")"),0)</f>
        <v>0</v>
      </c>
      <c r="N144" s="425">
        <f ca="1">IFERROR(__xludf.DUMMYFUNCTION("IMPORTRANGE(""https://docs.google.com/spreadsheets/d/1-uDff_7J0KD5mKrp0Vvzr7lt3OU09vwQwhkpOPPYv2Y/edit?usp=sharing"",""งบพรบ!BX83"")"),0)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hidden="1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IFERROR(__xludf.DUMMYFUNCTION("IMPORTRANGE(""https://docs.google.com/spreadsheets/d/1-uDff_7J0KD5mKrp0Vvzr7lt3OU09vwQwhkpOPPYv2Y/edit?usp=sharing"",""งบพรบ!BT83"")"),0)</f>
        <v>0</v>
      </c>
      <c r="M147" s="425">
        <f ca="1">IFERROR(__xludf.DUMMYFUNCTION("IMPORTRANGE(""https://docs.google.com/spreadsheets/d/1-uDff_7J0KD5mKrp0Vvzr7lt3OU09vwQwhkpOPPYv2Y/edit?usp=sharing"",""งบพรบ!BW83"")"),0)</f>
        <v>0</v>
      </c>
      <c r="N147" s="425">
        <f ca="1">IFERROR(__xludf.DUMMYFUNCTION("IMPORTRANGE(""https://docs.google.com/spreadsheets/d/1-uDff_7J0KD5mKrp0Vvzr7lt3OU09vwQwhkpOPPYv2Y/edit?usp=sharing"",""งบพรบ!BY83"")"),0)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IFERROR(__xludf.DUMMYFUNCTION("IMPORTRANGE(""https://docs.google.com/spreadsheets/d/1eHaY18a8A9IcSdp1K8H6x8fbOy06t2VsZHhMHf-1x7Y/edit?usp=sharing"",""แผน!U83"")"),0)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IFERROR(__xludf.DUMMYFUNCTION("IMPORTRANGE(""https://docs.google.com/spreadsheets/d/1eHaY18a8A9IcSdp1K8H6x8fbOy06t2VsZHhMHf-1x7Y/edit?usp=sharing"",""แผน!V83"")"),0)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IFERROR(__xludf.DUMMYFUNCTION("IMPORTRANGE(""https://docs.google.com/spreadsheets/d/1eHaY18a8A9IcSdp1K8H6x8fbOy06t2VsZHhMHf-1x7Y/edit?usp=sharing"",""แผน!W83"")"),0)</f>
        <v>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IFERROR(__xludf.DUMMYFUNCTION("IMPORTRANGE(""https://docs.google.com/spreadsheets/d/1eHaY18a8A9IcSdp1K8H6x8fbOy06t2VsZHhMHf-1x7Y/edit?usp=sharing"",""แผน!X83"")"),0)</f>
        <v>0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IFERROR(__xludf.DUMMYFUNCTION("IMPORTRANGE(""https://docs.google.com/spreadsheets/d/1eHaY18a8A9IcSdp1K8H6x8fbOy06t2VsZHhMHf-1x7Y/edit?usp=sharing"",""แผน!Y83"")"),0)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IFERROR(__xludf.DUMMYFUNCTION("IMPORTRANGE(""https://docs.google.com/spreadsheets/d/1-uDff_7J0KD5mKrp0Vvzr7lt3OU09vwQwhkpOPPYv2Y/edit?usp=sharing"",""งบพรบ!CA83"")"),0)</f>
        <v>0</v>
      </c>
      <c r="M162" s="425">
        <f ca="1">IFERROR(__xludf.DUMMYFUNCTION("IMPORTRANGE(""https://docs.google.com/spreadsheets/d/1-uDff_7J0KD5mKrp0Vvzr7lt3OU09vwQwhkpOPPYv2Y/edit?usp=sharing"",""งบพรบ!CF83"")"),0)</f>
        <v>0</v>
      </c>
      <c r="N162" s="425">
        <f ca="1">IFERROR(__xludf.DUMMYFUNCTION("IMPORTRANGE(""https://docs.google.com/spreadsheets/d/1-uDff_7J0KD5mKrp0Vvzr7lt3OU09vwQwhkpOPPYv2Y/edit?usp=sharing"",""งบพรบ!CH83"")"),0)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IFERROR(__xludf.DUMMYFUNCTION("IMPORTRANGE(""https://docs.google.com/spreadsheets/d/1-uDff_7J0KD5mKrp0Vvzr7lt3OU09vwQwhkpOPPYv2Y/edit?usp=sharing"",""งบพรบ!CD83"")"),0)</f>
        <v>0</v>
      </c>
      <c r="M165" s="425">
        <f ca="1">IFERROR(__xludf.DUMMYFUNCTION("IMPORTRANGE(""https://docs.google.com/spreadsheets/d/1-uDff_7J0KD5mKrp0Vvzr7lt3OU09vwQwhkpOPPYv2Y/edit?usp=sharing"",""งบพรบ!CG83"")"),0)</f>
        <v>0</v>
      </c>
      <c r="N165" s="425">
        <f ca="1">IFERROR(__xludf.DUMMYFUNCTION("IMPORTRANGE(""https://docs.google.com/spreadsheets/d/1-uDff_7J0KD5mKrp0Vvzr7lt3OU09vwQwhkpOPPYv2Y/edit?usp=sharing"",""งบพรบ!CI83"")"),0)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IFERROR(__xludf.DUMMYFUNCTION("IMPORTRANGE(""https://docs.google.com/spreadsheets/d/1eHaY18a8A9IcSdp1K8H6x8fbOy06t2VsZHhMHf-1x7Y/edit?usp=sharing"",""แผน!Z83"")"),0)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IFERROR(__xludf.DUMMYFUNCTION("IMPORTRANGE(""https://docs.google.com/spreadsheets/d/1eHaY18a8A9IcSdp1K8H6x8fbOy06t2VsZHhMHf-1x7Y/edit?usp=sharing"",""แผน!Z83"")"),0)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IFERROR(__xludf.DUMMYFUNCTION("IMPORTRANGE(""https://docs.google.com/spreadsheets/d/1eHaY18a8A9IcSdp1K8H6x8fbOy06t2VsZHhMHf-1x7Y/edit?usp=sharing"",""แผน!Z83"")"),0)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hidden="1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hidden="1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0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hidden="1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0</v>
      </c>
      <c r="M173" s="550">
        <f ca="1">M174+M175</f>
        <v>0</v>
      </c>
      <c r="N173" s="550">
        <f ca="1">N174+N175</f>
        <v>0</v>
      </c>
      <c r="O173" s="550">
        <f ca="1">IF(L173&gt;0,N173*100/L173,0)</f>
        <v>0</v>
      </c>
      <c r="P173" s="550">
        <f ca="1">IF(M173&gt;0,N173*100/M173,0)</f>
        <v>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hidden="1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0</v>
      </c>
      <c r="M175" s="425">
        <f ca="1">M178+M181</f>
        <v>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hidden="1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0</v>
      </c>
      <c r="M176" s="425">
        <f ca="1">M177+M178</f>
        <v>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hidden="1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IFERROR(__xludf.DUMMYFUNCTION("IMPORTRANGE(""https://docs.google.com/spreadsheets/d/1-uDff_7J0KD5mKrp0Vvzr7lt3OU09vwQwhkpOPPYv2Y/edit?usp=sharing"",""งบพรบ!CK83"")"),0)</f>
        <v>0</v>
      </c>
      <c r="M178" s="425">
        <f ca="1">IFERROR(__xludf.DUMMYFUNCTION("IMPORTRANGE(""https://docs.google.com/spreadsheets/d/1-uDff_7J0KD5mKrp0Vvzr7lt3OU09vwQwhkpOPPYv2Y/edit?usp=sharing"",""งบพรบ!CP83"")"),0)</f>
        <v>0</v>
      </c>
      <c r="N178" s="425">
        <f ca="1">IFERROR(__xludf.DUMMYFUNCTION("IMPORTRANGE(""https://docs.google.com/spreadsheets/d/1-uDff_7J0KD5mKrp0Vvzr7lt3OU09vwQwhkpOPPYv2Y/edit?usp=sharing"",""งบพรบ!CR83"")"),0)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hidden="1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hidden="1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IFERROR(__xludf.DUMMYFUNCTION("IMPORTRANGE(""https://docs.google.com/spreadsheets/d/1-uDff_7J0KD5mKrp0Vvzr7lt3OU09vwQwhkpOPPYv2Y/edit?usp=sharing"",""งบพรบ!CN83"")"),0)</f>
        <v>0</v>
      </c>
      <c r="M181" s="425">
        <f ca="1">IFERROR(__xludf.DUMMYFUNCTION("IMPORTRANGE(""https://docs.google.com/spreadsheets/d/1-uDff_7J0KD5mKrp0Vvzr7lt3OU09vwQwhkpOPPYv2Y/edit?usp=sharing"",""งบพรบ!CQ83"")"),0)</f>
        <v>0</v>
      </c>
      <c r="N181" s="425">
        <f ca="1">IFERROR(__xludf.DUMMYFUNCTION("IMPORTRANGE(""https://docs.google.com/spreadsheets/d/1-uDff_7J0KD5mKrp0Vvzr7lt3OU09vwQwhkpOPPYv2Y/edit?usp=sharing"",""งบพรบ!CS83"")"),0)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hidden="1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hidden="1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IFERROR(__xludf.DUMMYFUNCTION("IMPORTRANGE(""https://docs.google.com/spreadsheets/d/1eHaY18a8A9IcSdp1K8H6x8fbOy06t2VsZHhMHf-1x7Y/edit?usp=sharing"",""แผน!AA83"")"),0)</f>
        <v>0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80500</v>
      </c>
      <c r="M186" s="550">
        <f ca="1">M187+M188</f>
        <v>56500</v>
      </c>
      <c r="N186" s="550">
        <f ca="1">N187+N188</f>
        <v>0</v>
      </c>
      <c r="O186" s="550">
        <f ca="1">IF(L186&gt;0,N186*100/L186,0)</f>
        <v>0</v>
      </c>
      <c r="P186" s="550">
        <f ca="1">IF(M186&gt;0,N186*100/M186,0)</f>
        <v>0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80500</v>
      </c>
      <c r="M188" s="425">
        <f ca="1">M191+M194</f>
        <v>56500</v>
      </c>
      <c r="N188" s="425">
        <f ca="1">N191+N194</f>
        <v>0</v>
      </c>
      <c r="O188" s="425">
        <f ca="1">IF(L188&gt;0,N188*100/L188,0)</f>
        <v>0</v>
      </c>
      <c r="P188" s="425">
        <f ca="1">IF(M188&gt;0,N188*100/M188,0)</f>
        <v>0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80500</v>
      </c>
      <c r="M189" s="425">
        <f ca="1">M190+M191</f>
        <v>56500</v>
      </c>
      <c r="N189" s="425">
        <f ca="1">N190+N191</f>
        <v>0</v>
      </c>
      <c r="O189" s="425">
        <f ca="1">IF(L189&gt;0,N189*100/L189,0)</f>
        <v>0</v>
      </c>
      <c r="P189" s="425">
        <f ca="1">IF(M189&gt;0,N189*100/M189,0)</f>
        <v>0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IFERROR(__xludf.DUMMYFUNCTION("IMPORTRANGE(""https://docs.google.com/spreadsheets/d/1-uDff_7J0KD5mKrp0Vvzr7lt3OU09vwQwhkpOPPYv2Y/edit?usp=sharing"",""งบพรบ!CU83"")"),80500)</f>
        <v>80500</v>
      </c>
      <c r="M191" s="425">
        <f ca="1">IFERROR(__xludf.DUMMYFUNCTION("IMPORTRANGE(""https://docs.google.com/spreadsheets/d/1-uDff_7J0KD5mKrp0Vvzr7lt3OU09vwQwhkpOPPYv2Y/edit?usp=sharing"",""งบพรบ!CZ83"")"),56500)</f>
        <v>56500</v>
      </c>
      <c r="N191" s="425">
        <f ca="1">IFERROR(__xludf.DUMMYFUNCTION("IMPORTRANGE(""https://docs.google.com/spreadsheets/d/1-uDff_7J0KD5mKrp0Vvzr7lt3OU09vwQwhkpOPPYv2Y/edit?usp=sharing"",""งบพรบ!DB83"")"),0)</f>
        <v>0</v>
      </c>
      <c r="O191" s="425">
        <f ca="1">IF(L191&gt;0,N191*100/L191,0)</f>
        <v>0</v>
      </c>
      <c r="P191" s="425">
        <f ca="1">IF(M191&gt;0,N191*100/M191,0)</f>
        <v>0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IFERROR(__xludf.DUMMYFUNCTION("IMPORTRANGE(""https://docs.google.com/spreadsheets/d/1-uDff_7J0KD5mKrp0Vvzr7lt3OU09vwQwhkpOPPYv2Y/edit?usp=sharing"",""งบพรบ!CX83"")"),0)</f>
        <v>0</v>
      </c>
      <c r="M194" s="425">
        <f ca="1">IFERROR(__xludf.DUMMYFUNCTION("IMPORTRANGE(""https://docs.google.com/spreadsheets/d/1-uDff_7J0KD5mKrp0Vvzr7lt3OU09vwQwhkpOPPYv2Y/edit?usp=sharing"",""งบพรบ!DA83"")"),0)</f>
        <v>0</v>
      </c>
      <c r="N194" s="425">
        <f ca="1">IFERROR(__xludf.DUMMYFUNCTION("IMPORTRANGE(""https://docs.google.com/spreadsheets/d/1-uDff_7J0KD5mKrp0Vvzr7lt3OU09vwQwhkpOPPYv2Y/edit?usp=sharing"",""งบพรบ!DC83"")"),0)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IFERROR(__xludf.DUMMYFUNCTION("IMPORTRANGE(""https://docs.google.com/spreadsheets/d/1eHaY18a8A9IcSdp1K8H6x8fbOy06t2VsZHhMHf-1x7Y/edit?usp=sharing"",""แผน!AB83"")"),6000)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IFERROR(__xludf.DUMMYFUNCTION("IMPORTRANGE(""https://docs.google.com/spreadsheets/d/1eHaY18a8A9IcSdp1K8H6x8fbOy06t2VsZHhMHf-1x7Y/edit?usp=sharing"",""แผน!AE83"")"),4)</f>
        <v>4</v>
      </c>
      <c r="J198" s="568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hidden="1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0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hidden="1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hidden="1" x14ac:dyDescent="0.25">
      <c r="A204" s="543"/>
      <c r="B204" s="419"/>
      <c r="C204" s="418"/>
      <c r="D204" s="293" t="s">
        <v>80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IFERROR(__xludf.DUMMYFUNCTION("IMPORTRANGE(""https://docs.google.com/spreadsheets/d/1eHaY18a8A9IcSdp1K8H6x8fbOy06t2VsZHhMHf-1x7Y/edit?usp=sharing"",""แผน!AG83"")"),0)</f>
        <v>0</v>
      </c>
      <c r="M204" s="428"/>
      <c r="N204" s="683">
        <v>0</v>
      </c>
      <c r="O204" s="527"/>
      <c r="P204" s="428"/>
    </row>
    <row r="205" spans="1:16" ht="18.75" hidden="1" x14ac:dyDescent="0.25">
      <c r="A205" s="417"/>
      <c r="B205" s="419"/>
      <c r="C205" s="418"/>
      <c r="D205" s="293" t="s">
        <v>82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IFERROR(__xludf.DUMMYFUNCTION("IMPORTRANGE(""https://docs.google.com/spreadsheets/d/1eHaY18a8A9IcSdp1K8H6x8fbOy06t2VsZHhMHf-1x7Y/edit?usp=sharing"",""แผน!AI83"")"),0)</f>
        <v>0</v>
      </c>
      <c r="M205" s="428"/>
      <c r="N205" s="683">
        <v>0</v>
      </c>
      <c r="O205" s="527"/>
      <c r="P205" s="428"/>
    </row>
    <row r="206" spans="1:16" ht="18.75" hidden="1" x14ac:dyDescent="0.25">
      <c r="A206" s="417"/>
      <c r="B206" s="419"/>
      <c r="C206" s="418"/>
      <c r="D206" s="293" t="s">
        <v>89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IFERROR(__xludf.DUMMYFUNCTION("IMPORTRANGE(""https://docs.google.com/spreadsheets/d/1eHaY18a8A9IcSdp1K8H6x8fbOy06t2VsZHhMHf-1x7Y/edit?usp=sharing"",""แผน!AJ83"")"),0)</f>
        <v>0</v>
      </c>
      <c r="M206" s="428"/>
      <c r="N206" s="683">
        <v>0</v>
      </c>
      <c r="O206" s="527"/>
      <c r="P206" s="428"/>
    </row>
    <row r="207" spans="1:16" ht="12.75" hidden="1" x14ac:dyDescent="0.2">
      <c r="A207" s="593"/>
      <c r="B207" s="592"/>
      <c r="C207" s="591"/>
      <c r="D207" s="591"/>
      <c r="E207" s="591"/>
      <c r="F207" s="591"/>
      <c r="G207" s="590"/>
      <c r="H207" s="590"/>
      <c r="I207" s="589"/>
      <c r="J207" s="589"/>
      <c r="K207" s="588"/>
      <c r="L207" s="588"/>
      <c r="M207" s="588"/>
      <c r="N207" s="588"/>
      <c r="O207" s="588"/>
      <c r="P207" s="588"/>
    </row>
    <row r="208" spans="1:16" ht="19.5" hidden="1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hidden="1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IFERROR(__xludf.DUMMYFUNCTION("IMPORTRANGE(""https://docs.google.com/spreadsheets/d/1eHaY18a8A9IcSdp1K8H6x8fbOy06t2VsZHhMHf-1x7Y/edit?usp=sharing"",""แผน!AK83"")"),0)</f>
        <v>0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hidden="1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hidden="1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IFERROR(__xludf.DUMMYFUNCTION("IMPORTRANGE(""https://docs.google.com/spreadsheets/d/1eHaY18a8A9IcSdp1K8H6x8fbOy06t2VsZHhMHf-1x7Y/edit?usp=sharing"",""แผน!AK83"")"),0)</f>
        <v>0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hidden="1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IFERROR(__xludf.DUMMYFUNCTION("IMPORTRANGE(""https://docs.google.com/spreadsheets/d/1eHaY18a8A9IcSdp1K8H6x8fbOy06t2VsZHhMHf-1x7Y/edit?usp=sharing"",""แผน!AK83"")"),0)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hidden="1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hidden="1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IFERROR(__xludf.DUMMYFUNCTION("IMPORTRANGE(""https://docs.google.com/spreadsheets/d/1eHaY18a8A9IcSdp1K8H6x8fbOy06t2VsZHhMHf-1x7Y/edit?usp=sharing"",""แผน!AM83"")"),0)</f>
        <v>0</v>
      </c>
      <c r="M215" s="428"/>
      <c r="N215" s="683">
        <v>0</v>
      </c>
      <c r="O215" s="527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IFERROR(__xludf.DUMMYFUNCTION("IMPORTRANGE(""https://docs.google.com/spreadsheets/d/1eHaY18a8A9IcSdp1K8H6x8fbOy06t2VsZHhMHf-1x7Y/edit?usp=sharing"",""แผน!AN83"")"),0)</f>
        <v>0</v>
      </c>
      <c r="M216" s="428"/>
      <c r="N216" s="683">
        <v>0</v>
      </c>
      <c r="O216" s="527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IFERROR(__xludf.DUMMYFUNCTION("IMPORTRANGE(""https://docs.google.com/spreadsheets/d/1eHaY18a8A9IcSdp1K8H6x8fbOy06t2VsZHhMHf-1x7Y/edit?usp=sharing"",""แผน!AO83"")"),0)</f>
        <v>0</v>
      </c>
      <c r="M217" s="428"/>
      <c r="N217" s="683">
        <v>0</v>
      </c>
      <c r="O217" s="527"/>
      <c r="P217" s="428"/>
    </row>
    <row r="218" spans="1:16" ht="19.5" hidden="1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hidden="1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IFERROR(__xludf.DUMMYFUNCTION("IMPORTRANGE(""https://docs.google.com/spreadsheets/d/1eHaY18a8A9IcSdp1K8H6x8fbOy06t2VsZHhMHf-1x7Y/edit?usp=sharing"",""แผน!AP83"")"),0)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IFERROR(__xludf.DUMMYFUNCTION("IMPORTRANGE(""https://docs.google.com/spreadsheets/d/1eHaY18a8A9IcSdp1K8H6x8fbOy06t2VsZHhMHf-1x7Y/edit?usp=sharing"",""แผน!AP83"")"),0)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hidden="1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hidden="1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hidden="1" x14ac:dyDescent="0.25">
      <c r="A223" s="543"/>
      <c r="B223" s="419"/>
      <c r="C223" s="418"/>
      <c r="D223" s="293" t="s">
        <v>80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IFERROR(__xludf.DUMMYFUNCTION("IMPORTRANGE(""https://docs.google.com/spreadsheets/d/1eHaY18a8A9IcSdp1K8H6x8fbOy06t2VsZHhMHf-1x7Y/edit?usp=sharing"",""แผน!AR83"")"),0)</f>
        <v>0</v>
      </c>
      <c r="M223" s="428"/>
      <c r="N223" s="683">
        <v>0</v>
      </c>
      <c r="O223" s="527"/>
      <c r="P223" s="428"/>
    </row>
    <row r="224" spans="1:16" ht="18.75" hidden="1" x14ac:dyDescent="0.25">
      <c r="A224" s="417"/>
      <c r="B224" s="419"/>
      <c r="C224" s="419"/>
      <c r="D224" s="293" t="s">
        <v>94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IFERROR(__xludf.DUMMYFUNCTION("IMPORTRANGE(""https://docs.google.com/spreadsheets/d/1eHaY18a8A9IcSdp1K8H6x8fbOy06t2VsZHhMHf-1x7Y/edit?usp=sharing"",""แผน!AS83"")"),0)</f>
        <v>0</v>
      </c>
      <c r="M224" s="428"/>
      <c r="N224" s="683">
        <v>0</v>
      </c>
      <c r="O224" s="527"/>
      <c r="P224" s="428"/>
    </row>
    <row r="225" spans="1:16" ht="18.75" hidden="1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IFERROR(__xludf.DUMMYFUNCTION("IMPORTRANGE(""https://docs.google.com/spreadsheets/d/1eHaY18a8A9IcSdp1K8H6x8fbOy06t2VsZHhMHf-1x7Y/edit?usp=sharing"",""แผน!AT83"")"),0)</f>
        <v>0</v>
      </c>
      <c r="M225" s="428"/>
      <c r="N225" s="683">
        <v>0</v>
      </c>
      <c r="O225" s="527"/>
      <c r="P225" s="428"/>
    </row>
    <row r="226" spans="1:16" ht="19.5" hidden="1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hidden="1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hidden="1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IFERROR(__xludf.DUMMYFUNCTION("IMPORTRANGE(""https://docs.google.com/spreadsheets/d/1eHaY18a8A9IcSdp1K8H6x8fbOy06t2VsZHhMHf-1x7Y/edit?usp=sharing"",""แผน!AV83"")"),0)</f>
        <v>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hidden="1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IFERROR(__xludf.DUMMYFUNCTION("IMPORTRANGE(""https://docs.google.com/spreadsheets/d/1eHaY18a8A9IcSdp1K8H6x8fbOy06t2VsZHhMHf-1x7Y/edit?usp=sharing"",""แผน!AV83"")"),0)</f>
        <v>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hidden="1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IFERROR(__xludf.DUMMYFUNCTION("IMPORTRANGE(""https://docs.google.com/spreadsheets/d/1eHaY18a8A9IcSdp1K8H6x8fbOy06t2VsZHhMHf-1x7Y/edit?usp=sharing"",""แผน!AU83"")"),0)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IFERROR(__xludf.DUMMYFUNCTION("IMPORTRANGE(""https://docs.google.com/spreadsheets/d/1eHaY18a8A9IcSdp1K8H6x8fbOy06t2VsZHhMHf-1x7Y/edit?usp=sharing"",""แผน!AX83"")"),0)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IFERROR(__xludf.DUMMYFUNCTION("IMPORTRANGE(""https://docs.google.com/spreadsheets/d/1eHaY18a8A9IcSdp1K8H6x8fbOy06t2VsZHhMHf-1x7Y/edit?usp=sharing"",""แผน!AY83"")"),0)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IFERROR(__xludf.DUMMYFUNCTION("IMPORTRANGE(""https://docs.google.com/spreadsheets/d/1eHaY18a8A9IcSdp1K8H6x8fbOy06t2VsZHhMHf-1x7Y/edit?usp=sharing"",""แผน!AZ83"")"),0)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IFERROR(__xludf.DUMMYFUNCTION("IMPORTRANGE(""https://docs.google.com/spreadsheets/d/1eHaY18a8A9IcSdp1K8H6x8fbOy06t2VsZHhMHf-1x7Y/edit?usp=sharing"",""แผน!BA83"")"),0)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IFERROR(__xludf.DUMMYFUNCTION("IMPORTRANGE(""https://docs.google.com/spreadsheets/d/1eHaY18a8A9IcSdp1K8H6x8fbOy06t2VsZHhMHf-1x7Y/edit?usp=sharing"",""แผน!BG83"")"),0)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IFERROR(__xludf.DUMMYFUNCTION("IMPORTRANGE(""https://docs.google.com/spreadsheets/d/1eHaY18a8A9IcSdp1K8H6x8fbOy06t2VsZHhMHf-1x7Y/edit?usp=sharing"",""แผน!BB83"")"),0)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IFERROR(__xludf.DUMMYFUNCTION("IMPORTRANGE(""https://docs.google.com/spreadsheets/d/1eHaY18a8A9IcSdp1K8H6x8fbOy06t2VsZHhMHf-1x7Y/edit?usp=sharing"",""แผน!BC83"")"),0)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IFERROR(__xludf.DUMMYFUNCTION("IMPORTRANGE(""https://docs.google.com/spreadsheets/d/1eHaY18a8A9IcSdp1K8H6x8fbOy06t2VsZHhMHf-1x7Y/edit?usp=sharing"",""แผน!BD83"")"),0)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IFERROR(__xludf.DUMMYFUNCTION("IMPORTRANGE(""https://docs.google.com/spreadsheets/d/1eHaY18a8A9IcSdp1K8H6x8fbOy06t2VsZHhMHf-1x7Y/edit?usp=sharing"",""แผน!BE83"")"),0)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IFERROR(__xludf.DUMMYFUNCTION("IMPORTRANGE(""https://docs.google.com/spreadsheets/d/1eHaY18a8A9IcSdp1K8H6x8fbOy06t2VsZHhMHf-1x7Y/edit?usp=sharing"",""แผน!BH83"")"),0)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IFERROR(__xludf.DUMMYFUNCTION("IMPORTRANGE(""https://docs.google.com/spreadsheets/d/1-uDff_7J0KD5mKrp0Vvzr7lt3OU09vwQwhkpOPPYv2Y/edit?usp=sharing"",""งบพรบ!DE83"")"),0)</f>
        <v>0</v>
      </c>
      <c r="M271" s="544">
        <f ca="1">IFERROR(__xludf.DUMMYFUNCTION("IMPORTRANGE(""https://docs.google.com/spreadsheets/d/1-uDff_7J0KD5mKrp0Vvzr7lt3OU09vwQwhkpOPPYv2Y/edit?usp=sharing"",""งบพรบ!DJ83"")"),0)</f>
        <v>0</v>
      </c>
      <c r="N271" s="544">
        <f ca="1">IFERROR(__xludf.DUMMYFUNCTION("IMPORTRANGE(""https://docs.google.com/spreadsheets/d/1-uDff_7J0KD5mKrp0Vvzr7lt3OU09vwQwhkpOPPYv2Y/edit?usp=sharing"",""งบพรบ!DL83"")"),0)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IFERROR(__xludf.DUMMYFUNCTION("IMPORTRANGE(""https://docs.google.com/spreadsheets/d/1-uDff_7J0KD5mKrp0Vvzr7lt3OU09vwQwhkpOPPYv2Y/edit?usp=sharing"",""งบพรบ!DH83"")"),0)</f>
        <v>0</v>
      </c>
      <c r="M274" s="544">
        <f ca="1">IFERROR(__xludf.DUMMYFUNCTION("IMPORTRANGE(""https://docs.google.com/spreadsheets/d/1-uDff_7J0KD5mKrp0Vvzr7lt3OU09vwQwhkpOPPYv2Y/edit?usp=sharing"",""งบพรบ!DK83"")"),0)</f>
        <v>0</v>
      </c>
      <c r="N274" s="544">
        <f ca="1">IFERROR(__xludf.DUMMYFUNCTION("IMPORTRANGE(""https://docs.google.com/spreadsheets/d/1-uDff_7J0KD5mKrp0Vvzr7lt3OU09vwQwhkpOPPYv2Y/edit?usp=sharing"",""งบพรบ!DM83"")"),0)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IFERROR(__xludf.DUMMYFUNCTION("IMPORTRANGE(""https://docs.google.com/spreadsheets/d/1-uDff_7J0KD5mKrp0Vvzr7lt3OU09vwQwhkpOPPYv2Y/edit?usp=sharing"",""งบพรบ!DO83"")"),0)</f>
        <v>0</v>
      </c>
      <c r="M287" s="425">
        <f ca="1">IFERROR(__xludf.DUMMYFUNCTION("IMPORTRANGE(""https://docs.google.com/spreadsheets/d/1-uDff_7J0KD5mKrp0Vvzr7lt3OU09vwQwhkpOPPYv2Y/edit?usp=sharing"",""งบพรบ!DT83"")"),0)</f>
        <v>0</v>
      </c>
      <c r="N287" s="425">
        <f ca="1">IFERROR(__xludf.DUMMYFUNCTION("IMPORTRANGE(""https://docs.google.com/spreadsheets/d/1-uDff_7J0KD5mKrp0Vvzr7lt3OU09vwQwhkpOPPYv2Y/edit?usp=sharing"",""งบพรบ!DV83"")"),0)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IFERROR(__xludf.DUMMYFUNCTION("IMPORTRANGE(""https://docs.google.com/spreadsheets/d/1-uDff_7J0KD5mKrp0Vvzr7lt3OU09vwQwhkpOPPYv2Y/edit?usp=sharing"",""งบพรบ!DR83"")"),0)</f>
        <v>0</v>
      </c>
      <c r="M290" s="425">
        <f ca="1">IFERROR(__xludf.DUMMYFUNCTION("IMPORTRANGE(""https://docs.google.com/spreadsheets/d/1-uDff_7J0KD5mKrp0Vvzr7lt3OU09vwQwhkpOPPYv2Y/edit?usp=sharing"",""งบพรบ!DU83"")"),0)</f>
        <v>0</v>
      </c>
      <c r="N290" s="425">
        <f ca="1">IFERROR(__xludf.DUMMYFUNCTION("IMPORTRANGE(""https://docs.google.com/spreadsheets/d/1-uDff_7J0KD5mKrp0Vvzr7lt3OU09vwQwhkpOPPYv2Y/edit?usp=sharing"",""งบพรบ!DW83"")"),0)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IFERROR(__xludf.DUMMYFUNCTION("IMPORTRANGE(""https://docs.google.com/spreadsheets/d/1eHaY18a8A9IcSdp1K8H6x8fbOy06t2VsZHhMHf-1x7Y/edit?usp=sharing"",""แผน!EE83"")"),0)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IFERROR(__xludf.DUMMYFUNCTION("IMPORTRANGE(""https://docs.google.com/spreadsheets/d/1eHaY18a8A9IcSdp1K8H6x8fbOy06t2VsZHhMHf-1x7Y/edit?usp=sharing"",""แผน!ED83"")"),0)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IFERROR(__xludf.DUMMYFUNCTION("IMPORTRANGE(""https://docs.google.com/spreadsheets/d/1eHaY18a8A9IcSdp1K8H6x8fbOy06t2VsZHhMHf-1x7Y/edit?usp=sharing"",""แผน!ED83"")"),0)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IFERROR(__xludf.DUMMYFUNCTION("IMPORTRANGE(""https://docs.google.com/spreadsheets/d/1eHaY18a8A9IcSdp1K8H6x8fbOy06t2VsZHhMHf-1x7Y/edit?usp=sharing"",""แผน!ED83"")"),0)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IFERROR(__xludf.DUMMYFUNCTION("IMPORTRANGE(""https://docs.google.com/spreadsheets/d/1-uDff_7J0KD5mKrp0Vvzr7lt3OU09vwQwhkpOPPYv2Y/edit?usp=sharing"",""งบพรบ!DY83"")"),0)</f>
        <v>0</v>
      </c>
      <c r="M308" s="425">
        <f ca="1">IFERROR(__xludf.DUMMYFUNCTION("IMPORTRANGE(""https://docs.google.com/spreadsheets/d/1-uDff_7J0KD5mKrp0Vvzr7lt3OU09vwQwhkpOPPYv2Y/edit?usp=sharing"",""งบพรบ!ED83"")"),0)</f>
        <v>0</v>
      </c>
      <c r="N308" s="425">
        <f ca="1">IFERROR(__xludf.DUMMYFUNCTION("IMPORTRANGE(""https://docs.google.com/spreadsheets/d/1-uDff_7J0KD5mKrp0Vvzr7lt3OU09vwQwhkpOPPYv2Y/edit?usp=sharing"",""งบพรบ!EF83"")"),0)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IFERROR(__xludf.DUMMYFUNCTION("IMPORTRANGE(""https://docs.google.com/spreadsheets/d/1-uDff_7J0KD5mKrp0Vvzr7lt3OU09vwQwhkpOPPYv2Y/edit?usp=sharing"",""งบพรบ!EB83"")"),0)</f>
        <v>0</v>
      </c>
      <c r="M311" s="425">
        <f ca="1">IFERROR(__xludf.DUMMYFUNCTION("IMPORTRANGE(""https://docs.google.com/spreadsheets/d/1-uDff_7J0KD5mKrp0Vvzr7lt3OU09vwQwhkpOPPYv2Y/edit?usp=sharing"",""งบพรบ!EE83"")"),0)</f>
        <v>0</v>
      </c>
      <c r="N311" s="425">
        <f ca="1">IFERROR(__xludf.DUMMYFUNCTION("IMPORTRANGE(""https://docs.google.com/spreadsheets/d/1-uDff_7J0KD5mKrp0Vvzr7lt3OU09vwQwhkpOPPYv2Y/edit?usp=sharing"",""งบพรบ!EG83"")"),0)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IFERROR(__xludf.DUMMYFUNCTION("IMPORTRANGE(""https://docs.google.com/spreadsheets/d/1eHaY18a8A9IcSdp1K8H6x8fbOy06t2VsZHhMHf-1x7Y/edit?usp=sharing"",""แผน!EF83"")"),0)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IFERROR(__xludf.DUMMYFUNCTION("IMPORTRANGE(""https://docs.google.com/spreadsheets/d/1eHaY18a8A9IcSdp1K8H6x8fbOy06t2VsZHhMHf-1x7Y/edit?usp=sharing"",""แผน!EG83"")"),0)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IFERROR(__xludf.DUMMYFUNCTION("IMPORTRANGE(""https://docs.google.com/spreadsheets/d/1eHaY18a8A9IcSdp1K8H6x8fbOy06t2VsZHhMHf-1x7Y/edit?usp=sharing"",""แผน!EH83"")"),0)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IFERROR(__xludf.DUMMYFUNCTION("IMPORTRANGE(""https://docs.google.com/spreadsheets/d/1eHaY18a8A9IcSdp1K8H6x8fbOy06t2VsZHhMHf-1x7Y/edit?usp=sharing"",""แผน!EI83"")"),0)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IFERROR(__xludf.DUMMYFUNCTION("IMPORTRANGE(""https://docs.google.com/spreadsheets/d/1-uDff_7J0KD5mKrp0Vvzr7lt3OU09vwQwhkpOPPYv2Y/edit?usp=sharing"",""งบพรบ!EI83"")"),0)</f>
        <v>0</v>
      </c>
      <c r="M325" s="425">
        <f ca="1">IFERROR(__xludf.DUMMYFUNCTION("IMPORTRANGE(""https://docs.google.com/spreadsheets/d/1-uDff_7J0KD5mKrp0Vvzr7lt3OU09vwQwhkpOPPYv2Y/edit?usp=sharing"",""งบพรบ!EN83"")"),0)</f>
        <v>0</v>
      </c>
      <c r="N325" s="425">
        <f ca="1">IFERROR(__xludf.DUMMYFUNCTION("IMPORTRANGE(""https://docs.google.com/spreadsheets/d/1-uDff_7J0KD5mKrp0Vvzr7lt3OU09vwQwhkpOPPYv2Y/edit?usp=sharing"",""งบพรบ!EP83"")"),0)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IFERROR(__xludf.DUMMYFUNCTION("IMPORTRANGE(""https://docs.google.com/spreadsheets/d/1-uDff_7J0KD5mKrp0Vvzr7lt3OU09vwQwhkpOPPYv2Y/edit?usp=sharing"",""งบพรบ!EL83"")"),0)</f>
        <v>0</v>
      </c>
      <c r="M328" s="425">
        <f ca="1">IFERROR(__xludf.DUMMYFUNCTION("IMPORTRANGE(""https://docs.google.com/spreadsheets/d/1-uDff_7J0KD5mKrp0Vvzr7lt3OU09vwQwhkpOPPYv2Y/edit?usp=sharing"",""งบพรบ!EO83"")"),0)</f>
        <v>0</v>
      </c>
      <c r="N328" s="425">
        <f ca="1">IFERROR(__xludf.DUMMYFUNCTION("IMPORTRANGE(""https://docs.google.com/spreadsheets/d/1-uDff_7J0KD5mKrp0Vvzr7lt3OU09vwQwhkpOPPYv2Y/edit?usp=sharing"",""งบพรบ!EQ83"")"),0)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IFERROR(__xludf.DUMMYFUNCTION("IMPORTRANGE(""https://docs.google.com/spreadsheets/d/1eHaY18a8A9IcSdp1K8H6x8fbOy06t2VsZHhMHf-1x7Y/edit?usp=sharing"",""แผน!EJ83"")"),0)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120</v>
      </c>
      <c r="J332" s="402">
        <f ca="1">J344+J347+J348+J349+J353</f>
        <v>176</v>
      </c>
      <c r="K332" s="403">
        <f ca="1">IF(I332&gt;0,J332*100/I332,0)</f>
        <v>146.66666666666666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216600</v>
      </c>
      <c r="M333" s="550">
        <f ca="1">M334+M335</f>
        <v>163350</v>
      </c>
      <c r="N333" s="550">
        <f ca="1">N334+N335</f>
        <v>63480</v>
      </c>
      <c r="O333" s="550">
        <f ca="1">IF(L333&gt;0,N333*100/L333,0)</f>
        <v>29.307479224376731</v>
      </c>
      <c r="P333" s="550">
        <f ca="1">IF(M333&gt;0,N333*100/M333,0)</f>
        <v>38.861340679522499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216600</v>
      </c>
      <c r="M335" s="425">
        <f ca="1">M338+M341</f>
        <v>163350</v>
      </c>
      <c r="N335" s="425">
        <f ca="1">N338+N341</f>
        <v>63480</v>
      </c>
      <c r="O335" s="425">
        <f ca="1">IF(L335&gt;0,N335*100/L335,0)</f>
        <v>29.307479224376731</v>
      </c>
      <c r="P335" s="425">
        <f ca="1">IF(M335&gt;0,N335*100/M335,0)</f>
        <v>38.861340679522499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216600</v>
      </c>
      <c r="M336" s="425">
        <f ca="1">M337+M338</f>
        <v>163350</v>
      </c>
      <c r="N336" s="425">
        <f ca="1">N337+N338</f>
        <v>63480</v>
      </c>
      <c r="O336" s="425">
        <f ca="1">IF(L336&gt;0,N336*100/L336,0)</f>
        <v>29.307479224376731</v>
      </c>
      <c r="P336" s="425">
        <f ca="1">IF(M336&gt;0,N336*100/M336,0)</f>
        <v>38.861340679522499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IFERROR(__xludf.DUMMYFUNCTION("IMPORTRANGE(""https://docs.google.com/spreadsheets/d/1-uDff_7J0KD5mKrp0Vvzr7lt3OU09vwQwhkpOPPYv2Y/edit?usp=sharing"",""งบพรบ!ES83"")"),216600)</f>
        <v>216600</v>
      </c>
      <c r="M338" s="425">
        <f ca="1">IFERROR(__xludf.DUMMYFUNCTION("IMPORTRANGE(""https://docs.google.com/spreadsheets/d/1-uDff_7J0KD5mKrp0Vvzr7lt3OU09vwQwhkpOPPYv2Y/edit?usp=sharing"",""งบพรบ!EX83"")"),163350)</f>
        <v>163350</v>
      </c>
      <c r="N338" s="425">
        <f ca="1">IFERROR(__xludf.DUMMYFUNCTION("IMPORTRANGE(""https://docs.google.com/spreadsheets/d/1-uDff_7J0KD5mKrp0Vvzr7lt3OU09vwQwhkpOPPYv2Y/edit?usp=sharing"",""งบพรบ!EZ83"")"),63480)</f>
        <v>63480</v>
      </c>
      <c r="O338" s="425">
        <f ca="1">IF(L338&gt;0,N338*100/L338,0)</f>
        <v>29.307479224376731</v>
      </c>
      <c r="P338" s="425">
        <f ca="1">IF(M338&gt;0,N338*100/M338,0)</f>
        <v>38.861340679522499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IFERROR(__xludf.DUMMYFUNCTION("IMPORTRANGE(""https://docs.google.com/spreadsheets/d/1-uDff_7J0KD5mKrp0Vvzr7lt3OU09vwQwhkpOPPYv2Y/edit?usp=sharing"",""งบพรบ!EV83"")"),0)</f>
        <v>0</v>
      </c>
      <c r="M341" s="425">
        <f ca="1">IFERROR(__xludf.DUMMYFUNCTION("IMPORTRANGE(""https://docs.google.com/spreadsheets/d/1-uDff_7J0KD5mKrp0Vvzr7lt3OU09vwQwhkpOPPYv2Y/edit?usp=sharing"",""งบพรบ!EY83"")"),0)</f>
        <v>0</v>
      </c>
      <c r="N341" s="425">
        <f ca="1">IFERROR(__xludf.DUMMYFUNCTION("IMPORTRANGE(""https://docs.google.com/spreadsheets/d/1-uDff_7J0KD5mKrp0Vvzr7lt3OU09vwQwhkpOPPYv2Y/edit?usp=sharing"",""งบพรบ!FA83"")"),0)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26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IFERROR(__xludf.DUMMYFUNCTION("IMPORTRANGE(""https://docs.google.com/spreadsheets/d/1eHaY18a8A9IcSdp1K8H6x8fbOy06t2VsZHhMHf-1x7Y/edit?usp=sharing"",""แผน!EK83"")"),120)</f>
        <v>120</v>
      </c>
      <c r="J344" s="424">
        <f ca="1">IFERROR(__xludf.DUMMYFUNCTION("IMPORTRANGE(""https://docs.google.com/spreadsheets/d/1awYsYK3VOup2i3Pq_Yjnu8DRu_mYwSBnCR2QPthd0rU/edit?usp=sharing"",""ศูนย์ยกเว้นโฉนด!D83"")"),26)</f>
        <v>26</v>
      </c>
      <c r="K344" s="425">
        <f ca="1">IF(I344&gt;0,J344*100/I344,0)</f>
        <v>21.666666666666668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IFERROR(__xludf.DUMMYFUNCTION("IMPORTRANGE(""https://docs.google.com/spreadsheets/d/1eHaY18a8A9IcSdp1K8H6x8fbOy06t2VsZHhMHf-1x7Y/edit?usp=sharing"",""แผน!EL83"")"),1)</f>
        <v>1</v>
      </c>
      <c r="J346" s="424">
        <f ca="1">IFERROR(__xludf.DUMMYFUNCTION("IMPORTRANGE(""https://docs.google.com/spreadsheets/d/1awYsYK3VOup2i3Pq_Yjnu8DRu_mYwSBnCR2QPthd0rU/edit?usp=sharing"",""ศูนย์รวม!E83"")"),0)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IFERROR(__xludf.DUMMYFUNCTION("IMPORTRANGE(""https://docs.google.com/spreadsheets/d/1awYsYK3VOup2i3Pq_Yjnu8DRu_mYwSBnCR2QPthd0rU/edit?usp=sharing"",""ศูนย์ยกเว้นโฉนด!F83"")"),0)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IFERROR(__xludf.DUMMYFUNCTION("IMPORTRANGE(""https://docs.google.com/spreadsheets/d/1awYsYK3VOup2i3Pq_Yjnu8DRu_mYwSBnCR2QPthd0rU/edit?usp=sharing"",""ศูนย์ยกเว้นโฉนด!G83"")"),0)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IFERROR(__xludf.DUMMYFUNCTION("IMPORTRANGE(""https://docs.google.com/spreadsheets/d/1awYsYK3VOup2i3Pq_Yjnu8DRu_mYwSBnCR2QPthd0rU/edit?usp=sharing"",""ศูนย์ยกเว้นโฉนด!H83"")"),0)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158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IFERROR(__xludf.DUMMYFUNCTION("IMPORTRANGE(""https://docs.google.com/spreadsheets/d/1awYsYK3VOup2i3Pq_Yjnu8DRu_mYwSBnCR2QPthd0rU/edit?usp=sharing"",""โฉนดM3!G83"")"),8)</f>
        <v>8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IFERROR(__xludf.DUMMYFUNCTION("IMPORTRANGE(""https://docs.google.com/spreadsheets/d/1awYsYK3VOup2i3Pq_Yjnu8DRu_mYwSBnCR2QPthd0rU/edit?usp=sharing"",""โฉนดM3!H83"")"),150)</f>
        <v>150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225445</v>
      </c>
      <c r="M356" s="550">
        <f ca="1">M357+M358</f>
        <v>173445</v>
      </c>
      <c r="N356" s="550">
        <f ca="1">N357+N358</f>
        <v>53880</v>
      </c>
      <c r="O356" s="550">
        <f ca="1">IF(L356&gt;0,N356*100/L356,0)</f>
        <v>23.899398966488501</v>
      </c>
      <c r="P356" s="550">
        <f ca="1">IF(M356&gt;0,N356*100/M356,0)</f>
        <v>31.064602611778952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225445</v>
      </c>
      <c r="M358" s="425">
        <f ca="1">M361+M364</f>
        <v>173445</v>
      </c>
      <c r="N358" s="425">
        <f ca="1">N361+N364</f>
        <v>53880</v>
      </c>
      <c r="O358" s="425">
        <f ca="1">IF(L358&gt;0,N358*100/L358,0)</f>
        <v>23.899398966488501</v>
      </c>
      <c r="P358" s="425">
        <f ca="1">IF(M358&gt;0,N358*100/M358,0)</f>
        <v>31.064602611778952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225445</v>
      </c>
      <c r="M359" s="425">
        <f ca="1">M360+M361</f>
        <v>173445</v>
      </c>
      <c r="N359" s="425">
        <f ca="1">N360+N361</f>
        <v>53880</v>
      </c>
      <c r="O359" s="425">
        <f ca="1">IF(L359&gt;0,N359*100/L359,0)</f>
        <v>23.899398966488501</v>
      </c>
      <c r="P359" s="425">
        <f ca="1">IF(M359&gt;0,N359*100/M359,0)</f>
        <v>31.064602611778952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IFERROR(__xludf.DUMMYFUNCTION("IMPORTRANGE(""https://docs.google.com/spreadsheets/d/1-uDff_7J0KD5mKrp0Vvzr7lt3OU09vwQwhkpOPPYv2Y/edit?usp=sharing"",""งบพรบ!FC83"")"),225445)</f>
        <v>225445</v>
      </c>
      <c r="M361" s="425">
        <f ca="1">IFERROR(__xludf.DUMMYFUNCTION("IMPORTRANGE(""https://docs.google.com/spreadsheets/d/1-uDff_7J0KD5mKrp0Vvzr7lt3OU09vwQwhkpOPPYv2Y/edit?usp=sharing"",""งบพรบ!FH83"")"),173445)</f>
        <v>173445</v>
      </c>
      <c r="N361" s="425">
        <f ca="1">IFERROR(__xludf.DUMMYFUNCTION("IMPORTRANGE(""https://docs.google.com/spreadsheets/d/1-uDff_7J0KD5mKrp0Vvzr7lt3OU09vwQwhkpOPPYv2Y/edit?usp=sharing"",""งบพรบ!FJ83"")"),53880)</f>
        <v>53880</v>
      </c>
      <c r="O361" s="425">
        <f ca="1">IF(L361&gt;0,N361*100/L361,0)</f>
        <v>23.899398966488501</v>
      </c>
      <c r="P361" s="425">
        <f ca="1">IF(M361&gt;0,N361*100/M361,0)</f>
        <v>31.064602611778952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IFERROR(__xludf.DUMMYFUNCTION("IMPORTRANGE(""https://docs.google.com/spreadsheets/d/1-uDff_7J0KD5mKrp0Vvzr7lt3OU09vwQwhkpOPPYv2Y/edit?usp=sharing"",""งบพรบ!FF83"")"),0)</f>
        <v>0</v>
      </c>
      <c r="M364" s="425">
        <f ca="1">IFERROR(__xludf.DUMMYFUNCTION("IMPORTRANGE(""https://docs.google.com/spreadsheets/d/1-uDff_7J0KD5mKrp0Vvzr7lt3OU09vwQwhkpOPPYv2Y/edit?usp=sharing"",""งบพรบ!FI83"")"),0)</f>
        <v>0</v>
      </c>
      <c r="N364" s="425">
        <f ca="1">IFERROR(__xludf.DUMMYFUNCTION("IMPORTRANGE(""https://docs.google.com/spreadsheets/d/1-uDff_7J0KD5mKrp0Vvzr7lt3OU09vwQwhkpOPPYv2Y/edit?usp=sharing"",""งบพรบ!FK83"")"),0)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26</v>
      </c>
      <c r="J365" s="438">
        <f ca="1">J371</f>
        <v>14</v>
      </c>
      <c r="K365" s="439">
        <f ca="1">IF(I365&gt;0,J365*100/I365,0)</f>
        <v>53.846153846153847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IFERROR(__xludf.DUMMYFUNCTION("IMPORTRANGE(""https://docs.google.com/spreadsheets/d/1tdoBKaGub7dwA3U6UFTqxio9LNnvDCQjHKmttSEBsFQ/edit?usp=sharing"",""จัดที่ดิน!AB83"")"),12)</f>
        <v>12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IFERROR(__xludf.DUMMYFUNCTION("IMPORTRANGE(""https://docs.google.com/spreadsheets/d/1eHaY18a8A9IcSdp1K8H6x8fbOy06t2VsZHhMHf-1x7Y/edit?usp=sharing"",""แผน!EW83"")"),170)</f>
        <v>170</v>
      </c>
      <c r="J368" s="528">
        <f ca="1">IFERROR(__xludf.DUMMYFUNCTION("IMPORTRANGE(""https://docs.google.com/spreadsheets/d/1tdoBKaGub7dwA3U6UFTqxio9LNnvDCQjHKmttSEBsFQ/edit?usp=sharing"",""จัดที่ดิน!AC83"")"),42.75)</f>
        <v>42.75</v>
      </c>
      <c r="K368" s="425">
        <f ca="1">IF(I368&gt;0,J368*100/I368,0)</f>
        <v>25.147058823529413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IFERROR(__xludf.DUMMYFUNCTION("IMPORTRANGE(""https://docs.google.com/spreadsheets/d/1eHaY18a8A9IcSdp1K8H6x8fbOy06t2VsZHhMHf-1x7Y/edit?usp=sharing"",""แผน!EX83"")"),31)</f>
        <v>31</v>
      </c>
      <c r="J369" s="424">
        <f ca="1">IFERROR(__xludf.DUMMYFUNCTION("IMPORTRANGE(""https://docs.google.com/spreadsheets/d/1tdoBKaGub7dwA3U6UFTqxio9LNnvDCQjHKmttSEBsFQ/edit?usp=sharing"",""จัดที่ดิน!AD83"")"),14)</f>
        <v>14</v>
      </c>
      <c r="K369" s="425">
        <f ca="1">IF(I369&gt;0,J369*100/I369,0)</f>
        <v>45.161290322580648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IFERROR(__xludf.DUMMYFUNCTION("IMPORTRANGE(""https://docs.google.com/spreadsheets/d/1tdoBKaGub7dwA3U6UFTqxio9LNnvDCQjHKmttSEBsFQ/edit?usp=sharing"",""จัดที่ดิน!AE83"")"),59.5399999999999)</f>
        <v>59.5399999999999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IFERROR(__xludf.DUMMYFUNCTION("IMPORTRANGE(""https://docs.google.com/spreadsheets/d/1eHaY18a8A9IcSdp1K8H6x8fbOy06t2VsZHhMHf-1x7Y/edit?usp=sharing"",""แผน!EY83"")"),26)</f>
        <v>26</v>
      </c>
      <c r="J371" s="424">
        <f ca="1">IFERROR(__xludf.DUMMYFUNCTION("IMPORTRANGE(""https://docs.google.com/spreadsheets/d/1tdoBKaGub7dwA3U6UFTqxio9LNnvDCQjHKmttSEBsFQ/edit?usp=sharing"",""จัดที่ดิน!AF83"")"),14)</f>
        <v>14</v>
      </c>
      <c r="K371" s="425">
        <f ca="1">IF(I371&gt;0,J371*100/I371,0)</f>
        <v>53.846153846153847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IFERROR(__xludf.DUMMYFUNCTION("IMPORTRANGE(""https://docs.google.com/spreadsheets/d/1tdoBKaGub7dwA3U6UFTqxio9LNnvDCQjHKmttSEBsFQ/edit?usp=sharing"",""จัดที่ดิน!AG83"")"),59.5399999999999)</f>
        <v>59.5399999999999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IFERROR(__xludf.DUMMYFUNCTION("IMPORTRANGE(""https://docs.google.com/spreadsheets/d/1-uDff_7J0KD5mKrp0Vvzr7lt3OU09vwQwhkpOPPYv2Y/edit?usp=sharing"",""งบพรบ!FM83"")"),0)</f>
        <v>0</v>
      </c>
      <c r="M382" s="544">
        <f ca="1">IFERROR(__xludf.DUMMYFUNCTION("IMPORTRANGE(""https://docs.google.com/spreadsheets/d/1-uDff_7J0KD5mKrp0Vvzr7lt3OU09vwQwhkpOPPYv2Y/edit?usp=sharing"",""งบพรบ!FR83"")"),0)</f>
        <v>0</v>
      </c>
      <c r="N382" s="544">
        <f ca="1">IFERROR(__xludf.DUMMYFUNCTION("IMPORTRANGE(""https://docs.google.com/spreadsheets/d/1-uDff_7J0KD5mKrp0Vvzr7lt3OU09vwQwhkpOPPYv2Y/edit?usp=sharing"",""งบพรบ!FT83"")"),0)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IFERROR(__xludf.DUMMYFUNCTION("IMPORTRANGE(""https://docs.google.com/spreadsheets/d/1-uDff_7J0KD5mKrp0Vvzr7lt3OU09vwQwhkpOPPYv2Y/edit?usp=sharing"",""งบพรบ!FP83"")"),0)</f>
        <v>0</v>
      </c>
      <c r="M385" s="544">
        <f ca="1">IFERROR(__xludf.DUMMYFUNCTION("IMPORTRANGE(""https://docs.google.com/spreadsheets/d/1-uDff_7J0KD5mKrp0Vvzr7lt3OU09vwQwhkpOPPYv2Y/edit?usp=sharing"",""งบพรบ!FS83"")"),0)</f>
        <v>0</v>
      </c>
      <c r="N385" s="544">
        <f ca="1">IFERROR(__xludf.DUMMYFUNCTION("IMPORTRANGE(""https://docs.google.com/spreadsheets/d/1-uDff_7J0KD5mKrp0Vvzr7lt3OU09vwQwhkpOPPYv2Y/edit?usp=sharing"",""งบพรบ!FU83"")"),0)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CA88-C378-4C8F-98DC-C85C6BB06E82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2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170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1180995</v>
      </c>
      <c r="M18" s="709">
        <f ca="1">M19+M20</f>
        <v>948095</v>
      </c>
      <c r="N18" s="709">
        <f ca="1">N19+N20</f>
        <v>404839.92000000004</v>
      </c>
      <c r="O18" s="709">
        <f ca="1">IF(L18&gt;0,N18*100/L18,0)</f>
        <v>34.279562572237822</v>
      </c>
      <c r="P18" s="709">
        <f ca="1">IF(M18&gt;0,N18*100/M18,0)</f>
        <v>42.70035386749219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1180995</v>
      </c>
      <c r="M20" s="822">
        <f ca="1">M23+M26</f>
        <v>948095</v>
      </c>
      <c r="N20" s="822">
        <f ca="1">N23+N26</f>
        <v>404839.92000000004</v>
      </c>
      <c r="O20" s="822">
        <f ca="1">IF(L20&gt;0,N20*100/L20,0)</f>
        <v>34.279562572237822</v>
      </c>
      <c r="P20" s="822">
        <f ca="1">IF(M20&gt;0,N20*100/M20,0)</f>
        <v>42.70035386749219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1180995</v>
      </c>
      <c r="M21" s="425">
        <f ca="1">M22+M23</f>
        <v>948095</v>
      </c>
      <c r="N21" s="425">
        <f ca="1">N22+N23</f>
        <v>404839.92000000004</v>
      </c>
      <c r="O21" s="425">
        <f ca="1">IF(L21&gt;0,N21*100/L21,0)</f>
        <v>34.279562572237822</v>
      </c>
      <c r="P21" s="425">
        <f ca="1">IF(M21&gt;0,N21*100/M21,0)</f>
        <v>42.70035386749219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1180995</v>
      </c>
      <c r="M23" s="425">
        <f ca="1">M49+M64+M77+M99+M130+M144+M162+M191+M178+M271+M287+M308+M325+M338+M361+M382</f>
        <v>948095</v>
      </c>
      <c r="N23" s="425">
        <f ca="1">N49+N64+N77+N99+N130+N144+N162+N191+N178+N271+N287+N308+N325+N338+N361+N382</f>
        <v>404839.92000000004</v>
      </c>
      <c r="O23" s="425">
        <f ca="1">IF(L23&gt;0,N23*100/L23,0)</f>
        <v>34.279562572237822</v>
      </c>
      <c r="P23" s="425">
        <f ca="1">IF(M23&gt;0,N23*100/M23,0)</f>
        <v>42.70035386749219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1180995</v>
      </c>
      <c r="M40" s="814">
        <f ca="1">M44+M59+M72+M94+M125+M139+M157+M173+M186+M266+M282+M303+M320+M333+M356</f>
        <v>948095</v>
      </c>
      <c r="N40" s="814">
        <f ca="1">N44+N59+N72+N94+N125+N139+N157+N173+N186+N266+N282+N303+N320+N333+N356</f>
        <v>404839.92000000004</v>
      </c>
      <c r="O40" s="814">
        <f ca="1">IF(L40&gt;0,N40*100/L40,0)</f>
        <v>34.279562572237822</v>
      </c>
      <c r="P40" s="814">
        <f ca="1">IF(M40&gt;0,N40*100/M40,0)</f>
        <v>42.70035386749219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132100</v>
      </c>
      <c r="M44" s="799">
        <f ca="1">M45+M46</f>
        <v>151600</v>
      </c>
      <c r="N44" s="799">
        <f ca="1">N45+N46</f>
        <v>43500</v>
      </c>
      <c r="O44" s="799">
        <f ca="1">IF(L44&gt;0,N44*100/L44,0)</f>
        <v>32.929598788796369</v>
      </c>
      <c r="P44" s="799">
        <f ca="1">IF(M44&gt;0,N44*100/M44,0)</f>
        <v>28.693931398416886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132100</v>
      </c>
      <c r="M46" s="788">
        <f ca="1">M49+M52</f>
        <v>151600</v>
      </c>
      <c r="N46" s="788">
        <f ca="1">N49+N52</f>
        <v>43500</v>
      </c>
      <c r="O46" s="788">
        <f ca="1">IF(L46&gt;0,N46*100/L46,0)</f>
        <v>32.929598788796369</v>
      </c>
      <c r="P46" s="788">
        <f ca="1">IF(M46&gt;0,N46*100/M46,0)</f>
        <v>28.693931398416886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132100</v>
      </c>
      <c r="M47" s="425">
        <f ca="1">M48+M49</f>
        <v>151600</v>
      </c>
      <c r="N47" s="425">
        <f ca="1">N48+N49</f>
        <v>43500</v>
      </c>
      <c r="O47" s="425">
        <f ca="1">IF(L47&gt;0,N47*100/L47,0)</f>
        <v>32.929598788796369</v>
      </c>
      <c r="P47" s="425">
        <f ca="1">IF(M47&gt;0,N47*100/M47,0)</f>
        <v>28.693931398416886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IFERROR(__xludf.DUMMYFUNCTION("IMPORTRANGE(""https://docs.google.com/spreadsheets/d/1-uDff_7J0KD5mKrp0Vvzr7lt3OU09vwQwhkpOPPYv2Y/edit?usp=sharing"",""งบพรบ!P84"")"),132100)</f>
        <v>132100</v>
      </c>
      <c r="M49" s="425">
        <f ca="1">IFERROR(__xludf.DUMMYFUNCTION("IMPORTRANGE(""https://docs.google.com/spreadsheets/d/1-uDff_7J0KD5mKrp0Vvzr7lt3OU09vwQwhkpOPPYv2Y/edit?usp=sharing"",""งบพรบ!V84"")"),151600)</f>
        <v>151600</v>
      </c>
      <c r="N49" s="425">
        <f ca="1">IFERROR(__xludf.DUMMYFUNCTION("IMPORTRANGE(""https://docs.google.com/spreadsheets/d/1-uDff_7J0KD5mKrp0Vvzr7lt3OU09vwQwhkpOPPYv2Y/edit?usp=sharing"",""งบพรบ!Y84"")"),43500)</f>
        <v>43500</v>
      </c>
      <c r="O49" s="425">
        <f ca="1">IF(L49&gt;0,N49*100/L49,0)</f>
        <v>32.929598788796369</v>
      </c>
      <c r="P49" s="425">
        <f ca="1">IF(M49&gt;0,N49*100/M49,0)</f>
        <v>28.693931398416886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IFERROR(__xludf.DUMMYFUNCTION("IMPORTRANGE(""https://docs.google.com/spreadsheets/d/1-uDff_7J0KD5mKrp0Vvzr7lt3OU09vwQwhkpOPPYv2Y/edit?usp=sharing"",""งบพรบ!S84"")"),0)</f>
        <v>0</v>
      </c>
      <c r="M52" s="425">
        <f ca="1">IFERROR(__xludf.DUMMYFUNCTION("IMPORTRANGE(""https://docs.google.com/spreadsheets/d/1-uDff_7J0KD5mKrp0Vvzr7lt3OU09vwQwhkpOPPYv2Y/edit?usp=sharing"",""งบพรบ!W84"")"),0)</f>
        <v>0</v>
      </c>
      <c r="N52" s="425">
        <f ca="1">IFERROR(__xludf.DUMMYFUNCTION("IMPORTRANGE(""https://docs.google.com/spreadsheets/d/1-uDff_7J0KD5mKrp0Vvzr7lt3OU09vwQwhkpOPPYv2Y/edit?usp=sharing"",""งบพรบ!Z84"")"),0)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388700</v>
      </c>
      <c r="M59" s="768">
        <f ca="1">M60+M61</f>
        <v>293550</v>
      </c>
      <c r="N59" s="768">
        <f ca="1">N60+N61</f>
        <v>197590.78</v>
      </c>
      <c r="O59" s="768">
        <f ca="1">IF(L59&gt;0,N59*100/L59,0)</f>
        <v>50.833748392076153</v>
      </c>
      <c r="P59" s="768">
        <f ca="1">IF(M59&gt;0,N59*100/M59,0)</f>
        <v>67.310774995741781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388700</v>
      </c>
      <c r="M61" s="757">
        <f ca="1">M64+M67</f>
        <v>293550</v>
      </c>
      <c r="N61" s="757">
        <f ca="1">N64+N67</f>
        <v>197590.78</v>
      </c>
      <c r="O61" s="757">
        <f ca="1">IF(L61&gt;0,N61*100/L61,0)</f>
        <v>50.833748392076153</v>
      </c>
      <c r="P61" s="757">
        <f ca="1">IF(M61&gt;0,N61*100/M61,0)</f>
        <v>67.310774995741781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388700</v>
      </c>
      <c r="M62" s="425">
        <f ca="1">M63+M64</f>
        <v>293550</v>
      </c>
      <c r="N62" s="425">
        <f ca="1">N63+N64</f>
        <v>197590.78</v>
      </c>
      <c r="O62" s="425">
        <f ca="1">IF(L62&gt;0,N62*100/L62,0)</f>
        <v>50.833748392076153</v>
      </c>
      <c r="P62" s="425">
        <f ca="1">IF(M62&gt;0,N62*100/M62,0)</f>
        <v>67.310774995741781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IFERROR(__xludf.DUMMYFUNCTION("IMPORTRANGE(""https://docs.google.com/spreadsheets/d/1-uDff_7J0KD5mKrp0Vvzr7lt3OU09vwQwhkpOPPYv2Y/edit?usp=sharing"",""งบพรบ!AC84"")"),388700)</f>
        <v>388700</v>
      </c>
      <c r="M64" s="425">
        <f ca="1">IFERROR(__xludf.DUMMYFUNCTION("IMPORTRANGE(""https://docs.google.com/spreadsheets/d/1-uDff_7J0KD5mKrp0Vvzr7lt3OU09vwQwhkpOPPYv2Y/edit?usp=sharing"",""งบพรบ!AH84"")"),293550)</f>
        <v>293550</v>
      </c>
      <c r="N64" s="425">
        <f ca="1">IFERROR(__xludf.DUMMYFUNCTION("IMPORTRANGE(""https://docs.google.com/spreadsheets/d/1-uDff_7J0KD5mKrp0Vvzr7lt3OU09vwQwhkpOPPYv2Y/edit?usp=sharing"",""งบพรบ!AJ84"")"),197590.78)</f>
        <v>197590.78</v>
      </c>
      <c r="O64" s="425">
        <f ca="1">IF(L64&gt;0,N64*100/L64,0)</f>
        <v>50.833748392076153</v>
      </c>
      <c r="P64" s="425">
        <f ca="1">IF(M64&gt;0,N64*100/M64,0)</f>
        <v>67.310774995741781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IFERROR(__xludf.DUMMYFUNCTION("IMPORTRANGE(""https://docs.google.com/spreadsheets/d/1-uDff_7J0KD5mKrp0Vvzr7lt3OU09vwQwhkpOPPYv2Y/edit?usp=sharing"",""งบพรบ!AF84"")"),0)</f>
        <v>0</v>
      </c>
      <c r="M67" s="752">
        <f ca="1">IFERROR(__xludf.DUMMYFUNCTION("IMPORTRANGE(""https://docs.google.com/spreadsheets/d/1-uDff_7J0KD5mKrp0Vvzr7lt3OU09vwQwhkpOPPYv2Y/edit?usp=sharing"",""งบพรบ!AI84"")"),0)</f>
        <v>0</v>
      </c>
      <c r="N67" s="752">
        <f ca="1">IFERROR(__xludf.DUMMYFUNCTION("IMPORTRANGE(""https://docs.google.com/spreadsheets/d/1-uDff_7J0KD5mKrp0Vvzr7lt3OU09vwQwhkpOPPYv2Y/edit?usp=sharing"",""งบพรบ!AK84"")"),0)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hidden="1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IFERROR(__xludf.DUMMYFUNCTION("IMPORTRANGE(""https://docs.google.com/spreadsheets/d/1-uDff_7J0KD5mKrp0Vvzr7lt3OU09vwQwhkpOPPYv2Y/edit?usp=sharing"",""งบพรบ!AM84"")"),0)</f>
        <v>0</v>
      </c>
      <c r="M77" s="425">
        <f ca="1">IFERROR(__xludf.DUMMYFUNCTION("IMPORTRANGE(""https://docs.google.com/spreadsheets/d/1-uDff_7J0KD5mKrp0Vvzr7lt3OU09vwQwhkpOPPYv2Y/edit?usp=sharing"",""งบพรบ!AR84"")"),0)</f>
        <v>0</v>
      </c>
      <c r="N77" s="425">
        <f ca="1">IFERROR(__xludf.DUMMYFUNCTION("IMPORTRANGE(""https://docs.google.com/spreadsheets/d/1-uDff_7J0KD5mKrp0Vvzr7lt3OU09vwQwhkpOPPYv2Y/edit?usp=sharing"",""งบพรบ!AT84"")"),0)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IFERROR(__xludf.DUMMYFUNCTION("IMPORTRANGE(""https://docs.google.com/spreadsheets/d/1-uDff_7J0KD5mKrp0Vvzr7lt3OU09vwQwhkpOPPYv2Y/edit?usp=sharing"",""งบพรบ!AP84"")"),0)</f>
        <v>0</v>
      </c>
      <c r="M80" s="425">
        <f ca="1">IFERROR(__xludf.DUMMYFUNCTION("IMPORTRANGE(""https://docs.google.com/spreadsheets/d/1-uDff_7J0KD5mKrp0Vvzr7lt3OU09vwQwhkpOPPYv2Y/edit?usp=sharing"",""งบพรบ!AS84"")"),0)</f>
        <v>0</v>
      </c>
      <c r="N80" s="425">
        <f ca="1">IFERROR(__xludf.DUMMYFUNCTION("IMPORTRANGE(""https://docs.google.com/spreadsheets/d/1-uDff_7J0KD5mKrp0Vvzr7lt3OU09vwQwhkpOPPYv2Y/edit?usp=sharing"",""งบพรบ!AU84"")"),0)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IFERROR(__xludf.DUMMYFUNCTION("IMPORTRANGE(""https://docs.google.com/spreadsheets/d/1eHaY18a8A9IcSdp1K8H6x8fbOy06t2VsZHhMHf-1x7Y/edit?usp=sharing"",""แผน!H84"")"),0)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IFERROR(__xludf.DUMMYFUNCTION("IMPORTRANGE(""https://docs.google.com/spreadsheets/d/1eHaY18a8A9IcSdp1K8H6x8fbOy06t2VsZHhMHf-1x7Y/edit?usp=sharing"",""แผน!I84"")"),0)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IFERROR(__xludf.DUMMYFUNCTION("IMPORTRANGE(""https://docs.google.com/spreadsheets/d/1eHaY18a8A9IcSdp1K8H6x8fbOy06t2VsZHhMHf-1x7Y/edit?usp=sharing"",""แผน!F84"")"),0)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IFERROR(__xludf.DUMMYFUNCTION("IMPORTRANGE(""https://docs.google.com/spreadsheets/d/1eHaY18a8A9IcSdp1K8H6x8fbOy06t2VsZHhMHf-1x7Y/edit?usp=sharing"",""แผน!G84"")"),0)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IFERROR(__xludf.DUMMYFUNCTION("IMPORTRANGE(""https://docs.google.com/spreadsheets/d/1eHaY18a8A9IcSdp1K8H6x8fbOy06t2VsZHhMHf-1x7Y/edit?usp=sharing"",""แผน!D84"")"),0)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IFERROR(__xludf.DUMMYFUNCTION("IMPORTRANGE(""https://docs.google.com/spreadsheets/d/1eHaY18a8A9IcSdp1K8H6x8fbOy06t2VsZHhMHf-1x7Y/edit?usp=sharing"",""แผน!E84"")"),0)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IFERROR(__xludf.DUMMYFUNCTION("IMPORTRANGE(""https://docs.google.com/spreadsheets/d/1eHaY18a8A9IcSdp1K8H6x8fbOy06t2VsZHhMHf-1x7Y/edit?usp=sharing"",""แผน!J84"")"),0)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IFERROR(__xludf.DUMMYFUNCTION("IMPORTRANGE(""https://docs.google.com/spreadsheets/d/1-uDff_7J0KD5mKrp0Vvzr7lt3OU09vwQwhkpOPPYv2Y/edit?usp=sharing"",""งบพรบ!AW84"")"),0)</f>
        <v>0</v>
      </c>
      <c r="M99" s="425">
        <f ca="1">IFERROR(__xludf.DUMMYFUNCTION("IMPORTRANGE(""https://docs.google.com/spreadsheets/d/1-uDff_7J0KD5mKrp0Vvzr7lt3OU09vwQwhkpOPPYv2Y/edit?usp=sharing"",""งบพรบ!BB84"")"),0)</f>
        <v>0</v>
      </c>
      <c r="N99" s="425">
        <f ca="1">IFERROR(__xludf.DUMMYFUNCTION("IMPORTRANGE(""https://docs.google.com/spreadsheets/d/1-uDff_7J0KD5mKrp0Vvzr7lt3OU09vwQwhkpOPPYv2Y/edit?usp=sharing"",""งบพรบ!BD84"")"),0)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IFERROR(__xludf.DUMMYFUNCTION("IMPORTRANGE(""https://docs.google.com/spreadsheets/d/1-uDff_7J0KD5mKrp0Vvzr7lt3OU09vwQwhkpOPPYv2Y/edit?usp=sharing"",""งบพรบ!AZ84"")"),0)</f>
        <v>0</v>
      </c>
      <c r="M102" s="425">
        <f ca="1">IFERROR(__xludf.DUMMYFUNCTION("IMPORTRANGE(""https://docs.google.com/spreadsheets/d/1-uDff_7J0KD5mKrp0Vvzr7lt3OU09vwQwhkpOPPYv2Y/edit?usp=sharing"",""งบพรบ!BC84"")"),0)</f>
        <v>0</v>
      </c>
      <c r="N102" s="425">
        <f ca="1">IFERROR(__xludf.DUMMYFUNCTION("IMPORTRANGE(""https://docs.google.com/spreadsheets/d/1-uDff_7J0KD5mKrp0Vvzr7lt3OU09vwQwhkpOPPYv2Y/edit?usp=sharing"",""งบพรบ!BE84"")"),0)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IFERROR(__xludf.DUMMYFUNCTION("IMPORTRANGE(""https://docs.google.com/spreadsheets/d/1eHaY18a8A9IcSdp1K8H6x8fbOy06t2VsZHhMHf-1x7Y/edit?usp=sharing"",""แผน!N84"")"),0)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IFERROR(__xludf.DUMMYFUNCTION("IMPORTRANGE(""https://docs.google.com/spreadsheets/d/1eHaY18a8A9IcSdp1K8H6x8fbOy06t2VsZHhMHf-1x7Y/edit?usp=sharing"",""แผน!O84"")"),0)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IFERROR(__xludf.DUMMYFUNCTION("IMPORTRANGE(""https://docs.google.com/spreadsheets/d/1eHaY18a8A9IcSdp1K8H6x8fbOy06t2VsZHhMHf-1x7Y/edit?usp=sharing"",""แผน!R84"")"),0)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IFERROR(__xludf.DUMMYFUNCTION("IMPORTRANGE(""https://docs.google.com/spreadsheets/d/1-uDff_7J0KD5mKrp0Vvzr7lt3OU09vwQwhkpOPPYv2Y/edit?usp=sharing"",""งบพรบ!BG84"")"),0)</f>
        <v>0</v>
      </c>
      <c r="M130" s="728">
        <f ca="1">IFERROR(__xludf.DUMMYFUNCTION("IMPORTRANGE(""https://docs.google.com/spreadsheets/d/1-uDff_7J0KD5mKrp0Vvzr7lt3OU09vwQwhkpOPPYv2Y/edit?usp=sharing"",""งบพรบ!BL84"")"),0)</f>
        <v>0</v>
      </c>
      <c r="N130" s="728">
        <f ca="1">IFERROR(__xludf.DUMMYFUNCTION("IMPORTRANGE(""https://docs.google.com/spreadsheets/d/1-uDff_7J0KD5mKrp0Vvzr7lt3OU09vwQwhkpOPPYv2Y/edit?usp=sharing"",""งบพรบ!BN84"")"),0)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IFERROR(__xludf.DUMMYFUNCTION("IMPORTRANGE(""https://docs.google.com/spreadsheets/d/1-uDff_7J0KD5mKrp0Vvzr7lt3OU09vwQwhkpOPPYv2Y/edit?usp=sharing"",""งบพรบ!BJ84"")"),0)</f>
        <v>0</v>
      </c>
      <c r="M133" s="728">
        <f ca="1">IFERROR(__xludf.DUMMYFUNCTION("IMPORTRANGE(""https://docs.google.com/spreadsheets/d/1-uDff_7J0KD5mKrp0Vvzr7lt3OU09vwQwhkpOPPYv2Y/edit?usp=sharing"",""งบพรบ!BM84"")"),0)</f>
        <v>0</v>
      </c>
      <c r="N133" s="728">
        <f ca="1">IFERROR(__xludf.DUMMYFUNCTION("IMPORTRANGE(""https://docs.google.com/spreadsheets/d/1-uDff_7J0KD5mKrp0Vvzr7lt3OU09vwQwhkpOPPYv2Y/edit?usp=sharing"",""งบพรบ!BO84"")"),0)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hidden="1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hidden="1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hidden="1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hidden="1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hidden="1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0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hidden="1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0</v>
      </c>
      <c r="M139" s="550">
        <f ca="1">M140+M141</f>
        <v>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hidden="1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hidden="1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IFERROR(__xludf.DUMMYFUNCTION("IMPORTRANGE(""https://docs.google.com/spreadsheets/d/1-uDff_7J0KD5mKrp0Vvzr7lt3OU09vwQwhkpOPPYv2Y/edit?usp=sharing"",""งบพรบ!BQ84"")"),0)</f>
        <v>0</v>
      </c>
      <c r="M144" s="425">
        <f ca="1">IFERROR(__xludf.DUMMYFUNCTION("IMPORTRANGE(""https://docs.google.com/spreadsheets/d/1-uDff_7J0KD5mKrp0Vvzr7lt3OU09vwQwhkpOPPYv2Y/edit?usp=sharing"",""งบพรบ!BV84"")"),0)</f>
        <v>0</v>
      </c>
      <c r="N144" s="425">
        <f ca="1">IFERROR(__xludf.DUMMYFUNCTION("IMPORTRANGE(""https://docs.google.com/spreadsheets/d/1-uDff_7J0KD5mKrp0Vvzr7lt3OU09vwQwhkpOPPYv2Y/edit?usp=sharing"",""งบพรบ!BX84"")"),0)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hidden="1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IFERROR(__xludf.DUMMYFUNCTION("IMPORTRANGE(""https://docs.google.com/spreadsheets/d/1-uDff_7J0KD5mKrp0Vvzr7lt3OU09vwQwhkpOPPYv2Y/edit?usp=sharing"",""งบพรบ!BT84"")"),0)</f>
        <v>0</v>
      </c>
      <c r="M147" s="425">
        <f ca="1">IFERROR(__xludf.DUMMYFUNCTION("IMPORTRANGE(""https://docs.google.com/spreadsheets/d/1-uDff_7J0KD5mKrp0Vvzr7lt3OU09vwQwhkpOPPYv2Y/edit?usp=sharing"",""งบพรบ!BW84"")"),0)</f>
        <v>0</v>
      </c>
      <c r="N147" s="425">
        <f ca="1">IFERROR(__xludf.DUMMYFUNCTION("IMPORTRANGE(""https://docs.google.com/spreadsheets/d/1-uDff_7J0KD5mKrp0Vvzr7lt3OU09vwQwhkpOPPYv2Y/edit?usp=sharing"",""งบพรบ!BY84"")"),0)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IFERROR(__xludf.DUMMYFUNCTION("IMPORTRANGE(""https://docs.google.com/spreadsheets/d/1eHaY18a8A9IcSdp1K8H6x8fbOy06t2VsZHhMHf-1x7Y/edit?usp=sharing"",""แผน!U84"")"),0)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IFERROR(__xludf.DUMMYFUNCTION("IMPORTRANGE(""https://docs.google.com/spreadsheets/d/1eHaY18a8A9IcSdp1K8H6x8fbOy06t2VsZHhMHf-1x7Y/edit?usp=sharing"",""แผน!V84"")"),0)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IFERROR(__xludf.DUMMYFUNCTION("IMPORTRANGE(""https://docs.google.com/spreadsheets/d/1eHaY18a8A9IcSdp1K8H6x8fbOy06t2VsZHhMHf-1x7Y/edit?usp=sharing"",""แผน!W84"")"),0)</f>
        <v>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IFERROR(__xludf.DUMMYFUNCTION("IMPORTRANGE(""https://docs.google.com/spreadsheets/d/1eHaY18a8A9IcSdp1K8H6x8fbOy06t2VsZHhMHf-1x7Y/edit?usp=sharing"",""แผน!X84"")"),0)</f>
        <v>0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IFERROR(__xludf.DUMMYFUNCTION("IMPORTRANGE(""https://docs.google.com/spreadsheets/d/1eHaY18a8A9IcSdp1K8H6x8fbOy06t2VsZHhMHf-1x7Y/edit?usp=sharing"",""แผน!Y84"")"),0)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IFERROR(__xludf.DUMMYFUNCTION("IMPORTRANGE(""https://docs.google.com/spreadsheets/d/1-uDff_7J0KD5mKrp0Vvzr7lt3OU09vwQwhkpOPPYv2Y/edit?usp=sharing"",""งบพรบ!CA84"")"),0)</f>
        <v>0</v>
      </c>
      <c r="M162" s="425">
        <f ca="1">IFERROR(__xludf.DUMMYFUNCTION("IMPORTRANGE(""https://docs.google.com/spreadsheets/d/1-uDff_7J0KD5mKrp0Vvzr7lt3OU09vwQwhkpOPPYv2Y/edit?usp=sharing"",""งบพรบ!CF84"")"),0)</f>
        <v>0</v>
      </c>
      <c r="N162" s="425">
        <f ca="1">IFERROR(__xludf.DUMMYFUNCTION("IMPORTRANGE(""https://docs.google.com/spreadsheets/d/1-uDff_7J0KD5mKrp0Vvzr7lt3OU09vwQwhkpOPPYv2Y/edit?usp=sharing"",""งบพรบ!CH84"")"),0)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IFERROR(__xludf.DUMMYFUNCTION("IMPORTRANGE(""https://docs.google.com/spreadsheets/d/1-uDff_7J0KD5mKrp0Vvzr7lt3OU09vwQwhkpOPPYv2Y/edit?usp=sharing"",""งบพรบ!CD84"")"),0)</f>
        <v>0</v>
      </c>
      <c r="M165" s="425">
        <f ca="1">IFERROR(__xludf.DUMMYFUNCTION("IMPORTRANGE(""https://docs.google.com/spreadsheets/d/1-uDff_7J0KD5mKrp0Vvzr7lt3OU09vwQwhkpOPPYv2Y/edit?usp=sharing"",""งบพรบ!CG84"")"),0)</f>
        <v>0</v>
      </c>
      <c r="N165" s="425">
        <f ca="1">IFERROR(__xludf.DUMMYFUNCTION("IMPORTRANGE(""https://docs.google.com/spreadsheets/d/1-uDff_7J0KD5mKrp0Vvzr7lt3OU09vwQwhkpOPPYv2Y/edit?usp=sharing"",""งบพรบ!CI84"")"),0)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IFERROR(__xludf.DUMMYFUNCTION("IMPORTRANGE(""https://docs.google.com/spreadsheets/d/1eHaY18a8A9IcSdp1K8H6x8fbOy06t2VsZHhMHf-1x7Y/edit?usp=sharing"",""แผน!Z84"")"),0)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IFERROR(__xludf.DUMMYFUNCTION("IMPORTRANGE(""https://docs.google.com/spreadsheets/d/1eHaY18a8A9IcSdp1K8H6x8fbOy06t2VsZHhMHf-1x7Y/edit?usp=sharing"",""แผน!Z84"")"),0)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IFERROR(__xludf.DUMMYFUNCTION("IMPORTRANGE(""https://docs.google.com/spreadsheets/d/1eHaY18a8A9IcSdp1K8H6x8fbOy06t2VsZHhMHf-1x7Y/edit?usp=sharing"",""แผน!Z84"")"),0)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17090</v>
      </c>
      <c r="O173" s="550">
        <f ca="1">IF(L173&gt;0,N173*100/L173,0)</f>
        <v>87.238386932108213</v>
      </c>
      <c r="P173" s="550">
        <f ca="1">IF(M173&gt;0,N173*100/M173,0)</f>
        <v>87.238386932108213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17090</v>
      </c>
      <c r="O175" s="425">
        <f ca="1">IF(L175&gt;0,N175*100/L175,0)</f>
        <v>87.238386932108213</v>
      </c>
      <c r="P175" s="425">
        <f ca="1">IF(M175&gt;0,N175*100/M175,0)</f>
        <v>87.238386932108213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17090</v>
      </c>
      <c r="O176" s="425">
        <f ca="1">IF(L176&gt;0,N176*100/L176,0)</f>
        <v>87.238386932108213</v>
      </c>
      <c r="P176" s="425">
        <f ca="1">IF(M176&gt;0,N176*100/M176,0)</f>
        <v>87.238386932108213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IFERROR(__xludf.DUMMYFUNCTION("IMPORTRANGE(""https://docs.google.com/spreadsheets/d/1-uDff_7J0KD5mKrp0Vvzr7lt3OU09vwQwhkpOPPYv2Y/edit?usp=sharing"",""งบพรบ!CK84"")"),19590)</f>
        <v>19590</v>
      </c>
      <c r="M178" s="425">
        <f ca="1">IFERROR(__xludf.DUMMYFUNCTION("IMPORTRANGE(""https://docs.google.com/spreadsheets/d/1-uDff_7J0KD5mKrp0Vvzr7lt3OU09vwQwhkpOPPYv2Y/edit?usp=sharing"",""งบพรบ!CP84"")"),19590)</f>
        <v>19590</v>
      </c>
      <c r="N178" s="425">
        <f ca="1">IFERROR(__xludf.DUMMYFUNCTION("IMPORTRANGE(""https://docs.google.com/spreadsheets/d/1-uDff_7J0KD5mKrp0Vvzr7lt3OU09vwQwhkpOPPYv2Y/edit?usp=sharing"",""งบพรบ!CR84"")"),17090)</f>
        <v>17090</v>
      </c>
      <c r="O178" s="425">
        <f ca="1">IF(L178&gt;0,N178*100/L178,0)</f>
        <v>87.238386932108213</v>
      </c>
      <c r="P178" s="425">
        <f ca="1">IF(M178&gt;0,N178*100/M178,0)</f>
        <v>87.238386932108213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IFERROR(__xludf.DUMMYFUNCTION("IMPORTRANGE(""https://docs.google.com/spreadsheets/d/1-uDff_7J0KD5mKrp0Vvzr7lt3OU09vwQwhkpOPPYv2Y/edit?usp=sharing"",""งบพรบ!CN84"")"),0)</f>
        <v>0</v>
      </c>
      <c r="M181" s="425">
        <f ca="1">IFERROR(__xludf.DUMMYFUNCTION("IMPORTRANGE(""https://docs.google.com/spreadsheets/d/1-uDff_7J0KD5mKrp0Vvzr7lt3OU09vwQwhkpOPPYv2Y/edit?usp=sharing"",""งบพรบ!CQ84"")"),0)</f>
        <v>0</v>
      </c>
      <c r="N181" s="425">
        <f ca="1">IFERROR(__xludf.DUMMYFUNCTION("IMPORTRANGE(""https://docs.google.com/spreadsheets/d/1-uDff_7J0KD5mKrp0Vvzr7lt3OU09vwQwhkpOPPYv2Y/edit?usp=sharing"",""งบพรบ!CS84"")"),0)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IFERROR(__xludf.DUMMYFUNCTION("IMPORTRANGE(""https://docs.google.com/spreadsheets/d/1eHaY18a8A9IcSdp1K8H6x8fbOy06t2VsZHhMHf-1x7Y/edit?usp=sharing"",""แผน!AA84"")"),7)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105500</v>
      </c>
      <c r="M186" s="550">
        <f ca="1">M187+M188</f>
        <v>72500</v>
      </c>
      <c r="N186" s="550">
        <f ca="1">N187+N188</f>
        <v>32323.5</v>
      </c>
      <c r="O186" s="550">
        <f ca="1">IF(L186&gt;0,N186*100/L186,0)</f>
        <v>30.638388625592416</v>
      </c>
      <c r="P186" s="550">
        <f ca="1">IF(M186&gt;0,N186*100/M186,0)</f>
        <v>44.584137931034483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105500</v>
      </c>
      <c r="M188" s="425">
        <f ca="1">M191+M194</f>
        <v>72500</v>
      </c>
      <c r="N188" s="425">
        <f ca="1">N191+N194</f>
        <v>32323.5</v>
      </c>
      <c r="O188" s="425">
        <f ca="1">IF(L188&gt;0,N188*100/L188,0)</f>
        <v>30.638388625592416</v>
      </c>
      <c r="P188" s="425">
        <f ca="1">IF(M188&gt;0,N188*100/M188,0)</f>
        <v>44.584137931034483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105500</v>
      </c>
      <c r="M189" s="425">
        <f ca="1">M190+M191</f>
        <v>72500</v>
      </c>
      <c r="N189" s="425">
        <f ca="1">N190+N191</f>
        <v>32323.5</v>
      </c>
      <c r="O189" s="425">
        <f ca="1">IF(L189&gt;0,N189*100/L189,0)</f>
        <v>30.638388625592416</v>
      </c>
      <c r="P189" s="425">
        <f ca="1">IF(M189&gt;0,N189*100/M189,0)</f>
        <v>44.584137931034483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IFERROR(__xludf.DUMMYFUNCTION("IMPORTRANGE(""https://docs.google.com/spreadsheets/d/1-uDff_7J0KD5mKrp0Vvzr7lt3OU09vwQwhkpOPPYv2Y/edit?usp=sharing"",""งบพรบ!CU84"")"),105500)</f>
        <v>105500</v>
      </c>
      <c r="M191" s="425">
        <f ca="1">IFERROR(__xludf.DUMMYFUNCTION("IMPORTRANGE(""https://docs.google.com/spreadsheets/d/1-uDff_7J0KD5mKrp0Vvzr7lt3OU09vwQwhkpOPPYv2Y/edit?usp=sharing"",""งบพรบ!CZ84"")"),72500)</f>
        <v>72500</v>
      </c>
      <c r="N191" s="425">
        <f ca="1">IFERROR(__xludf.DUMMYFUNCTION("IMPORTRANGE(""https://docs.google.com/spreadsheets/d/1-uDff_7J0KD5mKrp0Vvzr7lt3OU09vwQwhkpOPPYv2Y/edit?usp=sharing"",""งบพรบ!DB84"")"),32323.5)</f>
        <v>32323.5</v>
      </c>
      <c r="O191" s="425">
        <f ca="1">IF(L191&gt;0,N191*100/L191,0)</f>
        <v>30.638388625592416</v>
      </c>
      <c r="P191" s="425">
        <f ca="1">IF(M191&gt;0,N191*100/M191,0)</f>
        <v>44.584137931034483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IFERROR(__xludf.DUMMYFUNCTION("IMPORTRANGE(""https://docs.google.com/spreadsheets/d/1-uDff_7J0KD5mKrp0Vvzr7lt3OU09vwQwhkpOPPYv2Y/edit?usp=sharing"",""งบพรบ!CX84"")"),0)</f>
        <v>0</v>
      </c>
      <c r="M194" s="425">
        <f ca="1">IFERROR(__xludf.DUMMYFUNCTION("IMPORTRANGE(""https://docs.google.com/spreadsheets/d/1-uDff_7J0KD5mKrp0Vvzr7lt3OU09vwQwhkpOPPYv2Y/edit?usp=sharing"",""งบพรบ!DA84"")"),0)</f>
        <v>0</v>
      </c>
      <c r="N194" s="425">
        <f ca="1">IFERROR(__xludf.DUMMYFUNCTION("IMPORTRANGE(""https://docs.google.com/spreadsheets/d/1-uDff_7J0KD5mKrp0Vvzr7lt3OU09vwQwhkpOPPYv2Y/edit?usp=sharing"",""งบพรบ!DC84"")"),0)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IFERROR(__xludf.DUMMYFUNCTION("IMPORTRANGE(""https://docs.google.com/spreadsheets/d/1eHaY18a8A9IcSdp1K8H6x8fbOy06t2VsZHhMHf-1x7Y/edit?usp=sharing"",""แผน!AB84"")"),6000)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IFERROR(__xludf.DUMMYFUNCTION("IMPORTRANGE(""https://docs.google.com/spreadsheets/d/1eHaY18a8A9IcSdp1K8H6x8fbOy06t2VsZHhMHf-1x7Y/edit?usp=sharing"",""แผน!AE84"")"),4)</f>
        <v>4</v>
      </c>
      <c r="J198" s="568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13000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IFERROR(__xludf.DUMMYFUNCTION("IMPORTRANGE(""https://docs.google.com/spreadsheets/d/1eHaY18a8A9IcSdp1K8H6x8fbOy06t2VsZHhMHf-1x7Y/edit?usp=sharing"",""แผน!AG84"")"),1000)</f>
        <v>1000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IFERROR(__xludf.DUMMYFUNCTION("IMPORTRANGE(""https://docs.google.com/spreadsheets/d/1eHaY18a8A9IcSdp1K8H6x8fbOy06t2VsZHhMHf-1x7Y/edit?usp=sharing"",""แผน!AH84"")"),0)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IFERROR(__xludf.DUMMYFUNCTION("IMPORTRANGE(""https://docs.google.com/spreadsheets/d/1eHaY18a8A9IcSdp1K8H6x8fbOy06t2VsZHhMHf-1x7Y/edit?usp=sharing"",""แผน!AI84"")"),8000)</f>
        <v>8000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IFERROR(__xludf.DUMMYFUNCTION("IMPORTRANGE(""https://docs.google.com/spreadsheets/d/1eHaY18a8A9IcSdp1K8H6x8fbOy06t2VsZHhMHf-1x7Y/edit?usp=sharing"",""แผน!AJ84"")"),4000)</f>
        <v>4000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IFERROR(__xludf.DUMMYFUNCTION("IMPORTRANGE(""https://docs.google.com/spreadsheets/d/1eHaY18a8A9IcSdp1K8H6x8fbOy06t2VsZHhMHf-1x7Y/edit?usp=sharing"",""แผน!AK84"")"),1)</f>
        <v>1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IFERROR(__xludf.DUMMYFUNCTION("IMPORTRANGE(""https://docs.google.com/spreadsheets/d/1eHaY18a8A9IcSdp1K8H6x8fbOy06t2VsZHhMHf-1x7Y/edit?usp=sharing"",""แผน!JX84"")"),1)</f>
        <v>1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IFERROR(__xludf.DUMMYFUNCTION("IMPORTRANGE(""https://docs.google.com/spreadsheets/d/1eHaY18a8A9IcSdp1K8H6x8fbOy06t2VsZHhMHf-1x7Y/edit?usp=sharing"",""แผน!JY84"")"),0)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hidden="1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hidden="1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IFERROR(__xludf.DUMMYFUNCTION("IMPORTRANGE(""https://docs.google.com/spreadsheets/d/1eHaY18a8A9IcSdp1K8H6x8fbOy06t2VsZHhMHf-1x7Y/edit?usp=sharing"",""แผน!AM84"")"),0)</f>
        <v>0</v>
      </c>
      <c r="M215" s="428"/>
      <c r="N215" s="683">
        <v>0</v>
      </c>
      <c r="O215" s="527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IFERROR(__xludf.DUMMYFUNCTION("IMPORTRANGE(""https://docs.google.com/spreadsheets/d/1eHaY18a8A9IcSdp1K8H6x8fbOy06t2VsZHhMHf-1x7Y/edit?usp=sharing"",""แผน!AN84"")"),0)</f>
        <v>0</v>
      </c>
      <c r="M216" s="428"/>
      <c r="N216" s="683">
        <v>0</v>
      </c>
      <c r="O216" s="527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IFERROR(__xludf.DUMMYFUNCTION("IMPORTRANGE(""https://docs.google.com/spreadsheets/d/1eHaY18a8A9IcSdp1K8H6x8fbOy06t2VsZHhMHf-1x7Y/edit?usp=sharing"",""แผน!AO84"")"),0)</f>
        <v>0</v>
      </c>
      <c r="M217" s="428"/>
      <c r="N217" s="683">
        <v>0</v>
      </c>
      <c r="O217" s="527"/>
      <c r="P217" s="428"/>
    </row>
    <row r="218" spans="1:16" ht="19.5" hidden="1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hidden="1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IFERROR(__xludf.DUMMYFUNCTION("IMPORTRANGE(""https://docs.google.com/spreadsheets/d/1eHaY18a8A9IcSdp1K8H6x8fbOy06t2VsZHhMHf-1x7Y/edit?usp=sharing"",""แผน!AP84"")"),0)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IFERROR(__xludf.DUMMYFUNCTION("IMPORTRANGE(""https://docs.google.com/spreadsheets/d/1eHaY18a8A9IcSdp1K8H6x8fbOy06t2VsZHhMHf-1x7Y/edit?usp=sharing"",""แผน!AP84"")"),0)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12000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IFERROR(__xludf.DUMMYFUNCTION("IMPORTRANGE(""https://docs.google.com/spreadsheets/d/1eHaY18a8A9IcSdp1K8H6x8fbOy06t2VsZHhMHf-1x7Y/edit?usp=sharing"",""แผน!AR84"")"),3000)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IFERROR(__xludf.DUMMYFUNCTION("IMPORTRANGE(""https://docs.google.com/spreadsheets/d/1eHaY18a8A9IcSdp1K8H6x8fbOy06t2VsZHhMHf-1x7Y/edit?usp=sharing"",""แผน!AS84"")"),1500)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IFERROR(__xludf.DUMMYFUNCTION("IMPORTRANGE(""https://docs.google.com/spreadsheets/d/1eHaY18a8A9IcSdp1K8H6x8fbOy06t2VsZHhMHf-1x7Y/edit?usp=sharing"",""แผน!AT84"")"),0)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IFERROR(__xludf.DUMMYFUNCTION("IMPORTRANGE(""https://docs.google.com/spreadsheets/d/1eHaY18a8A9IcSdp1K8H6x8fbOy06t2VsZHhMHf-1x7Y/edit?usp=sharing"",""แผน!AV84"")"),12000)</f>
        <v>12000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IFERROR(__xludf.DUMMYFUNCTION("IMPORTRANGE(""https://docs.google.com/spreadsheets/d/1eHaY18a8A9IcSdp1K8H6x8fbOy06t2VsZHhMHf-1x7Y/edit?usp=sharing"",""แผน!AV84"")"),12000)</f>
        <v>12000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IFERROR(__xludf.DUMMYFUNCTION("IMPORTRANGE(""https://docs.google.com/spreadsheets/d/1eHaY18a8A9IcSdp1K8H6x8fbOy06t2VsZHhMHf-1x7Y/edit?usp=sharing"",""แผน!AU84"")"),0)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IFERROR(__xludf.DUMMYFUNCTION("IMPORTRANGE(""https://docs.google.com/spreadsheets/d/1eHaY18a8A9IcSdp1K8H6x8fbOy06t2VsZHhMHf-1x7Y/edit?usp=sharing"",""แผน!AX84"")"),0)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IFERROR(__xludf.DUMMYFUNCTION("IMPORTRANGE(""https://docs.google.com/spreadsheets/d/1eHaY18a8A9IcSdp1K8H6x8fbOy06t2VsZHhMHf-1x7Y/edit?usp=sharing"",""แผน!AY84"")"),0)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IFERROR(__xludf.DUMMYFUNCTION("IMPORTRANGE(""https://docs.google.com/spreadsheets/d/1eHaY18a8A9IcSdp1K8H6x8fbOy06t2VsZHhMHf-1x7Y/edit?usp=sharing"",""แผน!AZ84"")"),0)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IFERROR(__xludf.DUMMYFUNCTION("IMPORTRANGE(""https://docs.google.com/spreadsheets/d/1eHaY18a8A9IcSdp1K8H6x8fbOy06t2VsZHhMHf-1x7Y/edit?usp=sharing"",""แผน!BA84"")"),0)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IFERROR(__xludf.DUMMYFUNCTION("IMPORTRANGE(""https://docs.google.com/spreadsheets/d/1eHaY18a8A9IcSdp1K8H6x8fbOy06t2VsZHhMHf-1x7Y/edit?usp=sharing"",""แผน!BG84"")"),0)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IFERROR(__xludf.DUMMYFUNCTION("IMPORTRANGE(""https://docs.google.com/spreadsheets/d/1eHaY18a8A9IcSdp1K8H6x8fbOy06t2VsZHhMHf-1x7Y/edit?usp=sharing"",""แผน!BB84"")"),0)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IFERROR(__xludf.DUMMYFUNCTION("IMPORTRANGE(""https://docs.google.com/spreadsheets/d/1eHaY18a8A9IcSdp1K8H6x8fbOy06t2VsZHhMHf-1x7Y/edit?usp=sharing"",""แผน!BC84"")"),0)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IFERROR(__xludf.DUMMYFUNCTION("IMPORTRANGE(""https://docs.google.com/spreadsheets/d/1eHaY18a8A9IcSdp1K8H6x8fbOy06t2VsZHhMHf-1x7Y/edit?usp=sharing"",""แผน!BD84"")"),0)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IFERROR(__xludf.DUMMYFUNCTION("IMPORTRANGE(""https://docs.google.com/spreadsheets/d/1eHaY18a8A9IcSdp1K8H6x8fbOy06t2VsZHhMHf-1x7Y/edit?usp=sharing"",""แผน!BE84"")"),0)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IFERROR(__xludf.DUMMYFUNCTION("IMPORTRANGE(""https://docs.google.com/spreadsheets/d/1eHaY18a8A9IcSdp1K8H6x8fbOy06t2VsZHhMHf-1x7Y/edit?usp=sharing"",""แผน!BH84"")"),0)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IFERROR(__xludf.DUMMYFUNCTION("IMPORTRANGE(""https://docs.google.com/spreadsheets/d/1-uDff_7J0KD5mKrp0Vvzr7lt3OU09vwQwhkpOPPYv2Y/edit?usp=sharing"",""งบพรบ!DE84"")"),0)</f>
        <v>0</v>
      </c>
      <c r="M271" s="544">
        <f ca="1">IFERROR(__xludf.DUMMYFUNCTION("IMPORTRANGE(""https://docs.google.com/spreadsheets/d/1-uDff_7J0KD5mKrp0Vvzr7lt3OU09vwQwhkpOPPYv2Y/edit?usp=sharing"",""งบพรบ!DJ84"")"),0)</f>
        <v>0</v>
      </c>
      <c r="N271" s="544">
        <f ca="1">IFERROR(__xludf.DUMMYFUNCTION("IMPORTRANGE(""https://docs.google.com/spreadsheets/d/1-uDff_7J0KD5mKrp0Vvzr7lt3OU09vwQwhkpOPPYv2Y/edit?usp=sharing"",""งบพรบ!DL84"")"),0)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IFERROR(__xludf.DUMMYFUNCTION("IMPORTRANGE(""https://docs.google.com/spreadsheets/d/1-uDff_7J0KD5mKrp0Vvzr7lt3OU09vwQwhkpOPPYv2Y/edit?usp=sharing"",""งบพรบ!DH84"")"),0)</f>
        <v>0</v>
      </c>
      <c r="M274" s="544">
        <f ca="1">IFERROR(__xludf.DUMMYFUNCTION("IMPORTRANGE(""https://docs.google.com/spreadsheets/d/1-uDff_7J0KD5mKrp0Vvzr7lt3OU09vwQwhkpOPPYv2Y/edit?usp=sharing"",""งบพรบ!DK84"")"),0)</f>
        <v>0</v>
      </c>
      <c r="N274" s="544">
        <f ca="1">IFERROR(__xludf.DUMMYFUNCTION("IMPORTRANGE(""https://docs.google.com/spreadsheets/d/1-uDff_7J0KD5mKrp0Vvzr7lt3OU09vwQwhkpOPPYv2Y/edit?usp=sharing"",""งบพรบ!DM84"")"),0)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IFERROR(__xludf.DUMMYFUNCTION("IMPORTRANGE(""https://docs.google.com/spreadsheets/d/1-uDff_7J0KD5mKrp0Vvzr7lt3OU09vwQwhkpOPPYv2Y/edit?usp=sharing"",""งบพรบ!DO84"")"),0)</f>
        <v>0</v>
      </c>
      <c r="M287" s="425">
        <f ca="1">IFERROR(__xludf.DUMMYFUNCTION("IMPORTRANGE(""https://docs.google.com/spreadsheets/d/1-uDff_7J0KD5mKrp0Vvzr7lt3OU09vwQwhkpOPPYv2Y/edit?usp=sharing"",""งบพรบ!DT84"")"),0)</f>
        <v>0</v>
      </c>
      <c r="N287" s="425">
        <f ca="1">IFERROR(__xludf.DUMMYFUNCTION("IMPORTRANGE(""https://docs.google.com/spreadsheets/d/1-uDff_7J0KD5mKrp0Vvzr7lt3OU09vwQwhkpOPPYv2Y/edit?usp=sharing"",""งบพรบ!DV84"")"),0)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IFERROR(__xludf.DUMMYFUNCTION("IMPORTRANGE(""https://docs.google.com/spreadsheets/d/1-uDff_7J0KD5mKrp0Vvzr7lt3OU09vwQwhkpOPPYv2Y/edit?usp=sharing"",""งบพรบ!DR84"")"),0)</f>
        <v>0</v>
      </c>
      <c r="M290" s="425">
        <f ca="1">IFERROR(__xludf.DUMMYFUNCTION("IMPORTRANGE(""https://docs.google.com/spreadsheets/d/1-uDff_7J0KD5mKrp0Vvzr7lt3OU09vwQwhkpOPPYv2Y/edit?usp=sharing"",""งบพรบ!DU84"")"),0)</f>
        <v>0</v>
      </c>
      <c r="N290" s="425">
        <f ca="1">IFERROR(__xludf.DUMMYFUNCTION("IMPORTRANGE(""https://docs.google.com/spreadsheets/d/1-uDff_7J0KD5mKrp0Vvzr7lt3OU09vwQwhkpOPPYv2Y/edit?usp=sharing"",""งบพรบ!DW84"")"),0)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IFERROR(__xludf.DUMMYFUNCTION("IMPORTRANGE(""https://docs.google.com/spreadsheets/d/1eHaY18a8A9IcSdp1K8H6x8fbOy06t2VsZHhMHf-1x7Y/edit?usp=sharing"",""แผน!EE84"")"),0)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IFERROR(__xludf.DUMMYFUNCTION("IMPORTRANGE(""https://docs.google.com/spreadsheets/d/1eHaY18a8A9IcSdp1K8H6x8fbOy06t2VsZHhMHf-1x7Y/edit?usp=sharing"",""แผน!ED84"")"),0)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IFERROR(__xludf.DUMMYFUNCTION("IMPORTRANGE(""https://docs.google.com/spreadsheets/d/1eHaY18a8A9IcSdp1K8H6x8fbOy06t2VsZHhMHf-1x7Y/edit?usp=sharing"",""แผน!ED84"")"),0)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IFERROR(__xludf.DUMMYFUNCTION("IMPORTRANGE(""https://docs.google.com/spreadsheets/d/1eHaY18a8A9IcSdp1K8H6x8fbOy06t2VsZHhMHf-1x7Y/edit?usp=sharing"",""แผน!ED84"")"),0)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IFERROR(__xludf.DUMMYFUNCTION("IMPORTRANGE(""https://docs.google.com/spreadsheets/d/1-uDff_7J0KD5mKrp0Vvzr7lt3OU09vwQwhkpOPPYv2Y/edit?usp=sharing"",""งบพรบ!DY84"")"),0)</f>
        <v>0</v>
      </c>
      <c r="M308" s="425">
        <f ca="1">IFERROR(__xludf.DUMMYFUNCTION("IMPORTRANGE(""https://docs.google.com/spreadsheets/d/1-uDff_7J0KD5mKrp0Vvzr7lt3OU09vwQwhkpOPPYv2Y/edit?usp=sharing"",""งบพรบ!ED84"")"),0)</f>
        <v>0</v>
      </c>
      <c r="N308" s="425">
        <f ca="1">IFERROR(__xludf.DUMMYFUNCTION("IMPORTRANGE(""https://docs.google.com/spreadsheets/d/1-uDff_7J0KD5mKrp0Vvzr7lt3OU09vwQwhkpOPPYv2Y/edit?usp=sharing"",""งบพรบ!EF84"")"),0)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IFERROR(__xludf.DUMMYFUNCTION("IMPORTRANGE(""https://docs.google.com/spreadsheets/d/1-uDff_7J0KD5mKrp0Vvzr7lt3OU09vwQwhkpOPPYv2Y/edit?usp=sharing"",""งบพรบ!EB84"")"),0)</f>
        <v>0</v>
      </c>
      <c r="M311" s="425">
        <f ca="1">IFERROR(__xludf.DUMMYFUNCTION("IMPORTRANGE(""https://docs.google.com/spreadsheets/d/1-uDff_7J0KD5mKrp0Vvzr7lt3OU09vwQwhkpOPPYv2Y/edit?usp=sharing"",""งบพรบ!EE84"")"),0)</f>
        <v>0</v>
      </c>
      <c r="N311" s="425">
        <f ca="1">IFERROR(__xludf.DUMMYFUNCTION("IMPORTRANGE(""https://docs.google.com/spreadsheets/d/1-uDff_7J0KD5mKrp0Vvzr7lt3OU09vwQwhkpOPPYv2Y/edit?usp=sharing"",""งบพรบ!EG84"")"),0)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IFERROR(__xludf.DUMMYFUNCTION("IMPORTRANGE(""https://docs.google.com/spreadsheets/d/1eHaY18a8A9IcSdp1K8H6x8fbOy06t2VsZHhMHf-1x7Y/edit?usp=sharing"",""แผน!EF84"")"),0)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IFERROR(__xludf.DUMMYFUNCTION("IMPORTRANGE(""https://docs.google.com/spreadsheets/d/1eHaY18a8A9IcSdp1K8H6x8fbOy06t2VsZHhMHf-1x7Y/edit?usp=sharing"",""แผน!EG84"")"),0)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IFERROR(__xludf.DUMMYFUNCTION("IMPORTRANGE(""https://docs.google.com/spreadsheets/d/1eHaY18a8A9IcSdp1K8H6x8fbOy06t2VsZHhMHf-1x7Y/edit?usp=sharing"",""แผน!EH84"")"),0)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IFERROR(__xludf.DUMMYFUNCTION("IMPORTRANGE(""https://docs.google.com/spreadsheets/d/1eHaY18a8A9IcSdp1K8H6x8fbOy06t2VsZHhMHf-1x7Y/edit?usp=sharing"",""แผน!EI84"")"),0)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IFERROR(__xludf.DUMMYFUNCTION("IMPORTRANGE(""https://docs.google.com/spreadsheets/d/1-uDff_7J0KD5mKrp0Vvzr7lt3OU09vwQwhkpOPPYv2Y/edit?usp=sharing"",""งบพรบ!EI84"")"),0)</f>
        <v>0</v>
      </c>
      <c r="M325" s="425">
        <f ca="1">IFERROR(__xludf.DUMMYFUNCTION("IMPORTRANGE(""https://docs.google.com/spreadsheets/d/1-uDff_7J0KD5mKrp0Vvzr7lt3OU09vwQwhkpOPPYv2Y/edit?usp=sharing"",""งบพรบ!EN84"")"),0)</f>
        <v>0</v>
      </c>
      <c r="N325" s="425">
        <f ca="1">IFERROR(__xludf.DUMMYFUNCTION("IMPORTRANGE(""https://docs.google.com/spreadsheets/d/1-uDff_7J0KD5mKrp0Vvzr7lt3OU09vwQwhkpOPPYv2Y/edit?usp=sharing"",""งบพรบ!EP84"")"),0)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IFERROR(__xludf.DUMMYFUNCTION("IMPORTRANGE(""https://docs.google.com/spreadsheets/d/1-uDff_7J0KD5mKrp0Vvzr7lt3OU09vwQwhkpOPPYv2Y/edit?usp=sharing"",""งบพรบ!EL84"")"),0)</f>
        <v>0</v>
      </c>
      <c r="M328" s="425">
        <f ca="1">IFERROR(__xludf.DUMMYFUNCTION("IMPORTRANGE(""https://docs.google.com/spreadsheets/d/1-uDff_7J0KD5mKrp0Vvzr7lt3OU09vwQwhkpOPPYv2Y/edit?usp=sharing"",""งบพรบ!EO84"")"),0)</f>
        <v>0</v>
      </c>
      <c r="N328" s="425">
        <f ca="1">IFERROR(__xludf.DUMMYFUNCTION("IMPORTRANGE(""https://docs.google.com/spreadsheets/d/1-uDff_7J0KD5mKrp0Vvzr7lt3OU09vwQwhkpOPPYv2Y/edit?usp=sharing"",""งบพรบ!EQ84"")"),0)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IFERROR(__xludf.DUMMYFUNCTION("IMPORTRANGE(""https://docs.google.com/spreadsheets/d/1eHaY18a8A9IcSdp1K8H6x8fbOy06t2VsZHhMHf-1x7Y/edit?usp=sharing"",""แผน!EJ84"")"),0)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140</v>
      </c>
      <c r="J332" s="402">
        <f ca="1">J344+J347+J348+J349+J353</f>
        <v>337</v>
      </c>
      <c r="K332" s="403">
        <f ca="1">IF(I332&gt;0,J332*100/I332,0)</f>
        <v>240.71428571428572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99000</v>
      </c>
      <c r="M333" s="550">
        <f ca="1">M334+M335</f>
        <v>79350</v>
      </c>
      <c r="N333" s="550">
        <f ca="1">N334+N335</f>
        <v>17155</v>
      </c>
      <c r="O333" s="550">
        <f ca="1">IF(L333&gt;0,N333*100/L333,0)</f>
        <v>17.328282828282827</v>
      </c>
      <c r="P333" s="550">
        <f ca="1">IF(M333&gt;0,N333*100/M333,0)</f>
        <v>21.619407687460619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99000</v>
      </c>
      <c r="M335" s="425">
        <f ca="1">M338+M341</f>
        <v>79350</v>
      </c>
      <c r="N335" s="425">
        <f ca="1">N338+N341</f>
        <v>17155</v>
      </c>
      <c r="O335" s="425">
        <f ca="1">IF(L335&gt;0,N335*100/L335,0)</f>
        <v>17.328282828282827</v>
      </c>
      <c r="P335" s="425">
        <f ca="1">IF(M335&gt;0,N335*100/M335,0)</f>
        <v>21.619407687460619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99000</v>
      </c>
      <c r="M336" s="425">
        <f ca="1">M337+M338</f>
        <v>79350</v>
      </c>
      <c r="N336" s="425">
        <f ca="1">N337+N338</f>
        <v>17155</v>
      </c>
      <c r="O336" s="425">
        <f ca="1">IF(L336&gt;0,N336*100/L336,0)</f>
        <v>17.328282828282827</v>
      </c>
      <c r="P336" s="425">
        <f ca="1">IF(M336&gt;0,N336*100/M336,0)</f>
        <v>21.619407687460619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IFERROR(__xludf.DUMMYFUNCTION("IMPORTRANGE(""https://docs.google.com/spreadsheets/d/1-uDff_7J0KD5mKrp0Vvzr7lt3OU09vwQwhkpOPPYv2Y/edit?usp=sharing"",""งบพรบ!ES84"")"),99000)</f>
        <v>99000</v>
      </c>
      <c r="M338" s="425">
        <f ca="1">IFERROR(__xludf.DUMMYFUNCTION("IMPORTRANGE(""https://docs.google.com/spreadsheets/d/1-uDff_7J0KD5mKrp0Vvzr7lt3OU09vwQwhkpOPPYv2Y/edit?usp=sharing"",""งบพรบ!EX84"")"),79350)</f>
        <v>79350</v>
      </c>
      <c r="N338" s="425">
        <f ca="1">IFERROR(__xludf.DUMMYFUNCTION("IMPORTRANGE(""https://docs.google.com/spreadsheets/d/1-uDff_7J0KD5mKrp0Vvzr7lt3OU09vwQwhkpOPPYv2Y/edit?usp=sharing"",""งบพรบ!EZ84"")"),17155)</f>
        <v>17155</v>
      </c>
      <c r="O338" s="425">
        <f ca="1">IF(L338&gt;0,N338*100/L338,0)</f>
        <v>17.328282828282827</v>
      </c>
      <c r="P338" s="425">
        <f ca="1">IF(M338&gt;0,N338*100/M338,0)</f>
        <v>21.619407687460619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IFERROR(__xludf.DUMMYFUNCTION("IMPORTRANGE(""https://docs.google.com/spreadsheets/d/1-uDff_7J0KD5mKrp0Vvzr7lt3OU09vwQwhkpOPPYv2Y/edit?usp=sharing"",""งบพรบ!EV84"")"),0)</f>
        <v>0</v>
      </c>
      <c r="M341" s="425">
        <f ca="1">IFERROR(__xludf.DUMMYFUNCTION("IMPORTRANGE(""https://docs.google.com/spreadsheets/d/1-uDff_7J0KD5mKrp0Vvzr7lt3OU09vwQwhkpOPPYv2Y/edit?usp=sharing"",""งบพรบ!EY84"")"),0)</f>
        <v>0</v>
      </c>
      <c r="N341" s="425">
        <f ca="1">IFERROR(__xludf.DUMMYFUNCTION("IMPORTRANGE(""https://docs.google.com/spreadsheets/d/1-uDff_7J0KD5mKrp0Vvzr7lt3OU09vwQwhkpOPPYv2Y/edit?usp=sharing"",""งบพรบ!FA84"")"),0)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163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IFERROR(__xludf.DUMMYFUNCTION("IMPORTRANGE(""https://docs.google.com/spreadsheets/d/1eHaY18a8A9IcSdp1K8H6x8fbOy06t2VsZHhMHf-1x7Y/edit?usp=sharing"",""แผน!EK84"")"),140)</f>
        <v>140</v>
      </c>
      <c r="J344" s="424">
        <f ca="1">IFERROR(__xludf.DUMMYFUNCTION("IMPORTRANGE(""https://docs.google.com/spreadsheets/d/1awYsYK3VOup2i3Pq_Yjnu8DRu_mYwSBnCR2QPthd0rU/edit?usp=sharing"",""ศูนย์ยกเว้นโฉนด!D84"")"),163)</f>
        <v>163</v>
      </c>
      <c r="K344" s="425">
        <f ca="1">IF(I344&gt;0,J344*100/I344,0)</f>
        <v>116.42857142857143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IFERROR(__xludf.DUMMYFUNCTION("IMPORTRANGE(""https://docs.google.com/spreadsheets/d/1eHaY18a8A9IcSdp1K8H6x8fbOy06t2VsZHhMHf-1x7Y/edit?usp=sharing"",""แผน!EL84"")"),1)</f>
        <v>1</v>
      </c>
      <c r="J346" s="424">
        <f ca="1">IFERROR(__xludf.DUMMYFUNCTION("IMPORTRANGE(""https://docs.google.com/spreadsheets/d/1awYsYK3VOup2i3Pq_Yjnu8DRu_mYwSBnCR2QPthd0rU/edit?usp=sharing"",""ศูนย์รวม!E84"")"),0)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IFERROR(__xludf.DUMMYFUNCTION("IMPORTRANGE(""https://docs.google.com/spreadsheets/d/1awYsYK3VOup2i3Pq_Yjnu8DRu_mYwSBnCR2QPthd0rU/edit?usp=sharing"",""ศูนย์ยกเว้นโฉนด!F84"")"),0)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IFERROR(__xludf.DUMMYFUNCTION("IMPORTRANGE(""https://docs.google.com/spreadsheets/d/1awYsYK3VOup2i3Pq_Yjnu8DRu_mYwSBnCR2QPthd0rU/edit?usp=sharing"",""ศูนย์ยกเว้นโฉนด!G84"")"),0)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IFERROR(__xludf.DUMMYFUNCTION("IMPORTRANGE(""https://docs.google.com/spreadsheets/d/1awYsYK3VOup2i3Pq_Yjnu8DRu_mYwSBnCR2QPthd0rU/edit?usp=sharing"",""ศูนย์ยกเว้นโฉนด!H84"")"),0)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187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IFERROR(__xludf.DUMMYFUNCTION("IMPORTRANGE(""https://docs.google.com/spreadsheets/d/1awYsYK3VOup2i3Pq_Yjnu8DRu_mYwSBnCR2QPthd0rU/edit?usp=sharing"",""โฉนดM3!G84"")"),13)</f>
        <v>13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IFERROR(__xludf.DUMMYFUNCTION("IMPORTRANGE(""https://docs.google.com/spreadsheets/d/1awYsYK3VOup2i3Pq_Yjnu8DRu_mYwSBnCR2QPthd0rU/edit?usp=sharing"",""โฉนดM3!H84"")"),174)</f>
        <v>174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436105</v>
      </c>
      <c r="M356" s="550">
        <f ca="1">M357+M358</f>
        <v>331505</v>
      </c>
      <c r="N356" s="550">
        <f ca="1">N357+N358</f>
        <v>97180.64</v>
      </c>
      <c r="O356" s="550">
        <f ca="1">IF(L356&gt;0,N356*100/L356,0)</f>
        <v>22.283771110168423</v>
      </c>
      <c r="P356" s="550">
        <f ca="1">IF(M356&gt;0,N356*100/M356,0)</f>
        <v>29.3149846910303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436105</v>
      </c>
      <c r="M358" s="425">
        <f ca="1">M361+M364</f>
        <v>331505</v>
      </c>
      <c r="N358" s="425">
        <f ca="1">N361+N364</f>
        <v>97180.64</v>
      </c>
      <c r="O358" s="425">
        <f ca="1">IF(L358&gt;0,N358*100/L358,0)</f>
        <v>22.283771110168423</v>
      </c>
      <c r="P358" s="425">
        <f ca="1">IF(M358&gt;0,N358*100/M358,0)</f>
        <v>29.3149846910303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436105</v>
      </c>
      <c r="M359" s="425">
        <f ca="1">M360+M361</f>
        <v>331505</v>
      </c>
      <c r="N359" s="425">
        <f ca="1">N360+N361</f>
        <v>97180.64</v>
      </c>
      <c r="O359" s="425">
        <f ca="1">IF(L359&gt;0,N359*100/L359,0)</f>
        <v>22.283771110168423</v>
      </c>
      <c r="P359" s="425">
        <f ca="1">IF(M359&gt;0,N359*100/M359,0)</f>
        <v>29.3149846910303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IFERROR(__xludf.DUMMYFUNCTION("IMPORTRANGE(""https://docs.google.com/spreadsheets/d/1-uDff_7J0KD5mKrp0Vvzr7lt3OU09vwQwhkpOPPYv2Y/edit?usp=sharing"",""งบพรบ!FC84"")"),436105)</f>
        <v>436105</v>
      </c>
      <c r="M361" s="425">
        <f ca="1">IFERROR(__xludf.DUMMYFUNCTION("IMPORTRANGE(""https://docs.google.com/spreadsheets/d/1-uDff_7J0KD5mKrp0Vvzr7lt3OU09vwQwhkpOPPYv2Y/edit?usp=sharing"",""งบพรบ!FH84"")"),331505)</f>
        <v>331505</v>
      </c>
      <c r="N361" s="425">
        <f ca="1">IFERROR(__xludf.DUMMYFUNCTION("IMPORTRANGE(""https://docs.google.com/spreadsheets/d/1-uDff_7J0KD5mKrp0Vvzr7lt3OU09vwQwhkpOPPYv2Y/edit?usp=sharing"",""งบพรบ!FJ84"")"),97180.64)</f>
        <v>97180.64</v>
      </c>
      <c r="O361" s="425">
        <f ca="1">IF(L361&gt;0,N361*100/L361,0)</f>
        <v>22.283771110168423</v>
      </c>
      <c r="P361" s="425">
        <f ca="1">IF(M361&gt;0,N361*100/M361,0)</f>
        <v>29.3149846910303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IFERROR(__xludf.DUMMYFUNCTION("IMPORTRANGE(""https://docs.google.com/spreadsheets/d/1-uDff_7J0KD5mKrp0Vvzr7lt3OU09vwQwhkpOPPYv2Y/edit?usp=sharing"",""งบพรบ!FF84"")"),0)</f>
        <v>0</v>
      </c>
      <c r="M364" s="425">
        <f ca="1">IFERROR(__xludf.DUMMYFUNCTION("IMPORTRANGE(""https://docs.google.com/spreadsheets/d/1-uDff_7J0KD5mKrp0Vvzr7lt3OU09vwQwhkpOPPYv2Y/edit?usp=sharing"",""งบพรบ!FI84"")"),0)</f>
        <v>0</v>
      </c>
      <c r="N364" s="425">
        <f ca="1">IFERROR(__xludf.DUMMYFUNCTION("IMPORTRANGE(""https://docs.google.com/spreadsheets/d/1-uDff_7J0KD5mKrp0Vvzr7lt3OU09vwQwhkpOPPYv2Y/edit?usp=sharing"",""งบพรบ!FK84"")"),0)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42</v>
      </c>
      <c r="J365" s="438">
        <f ca="1">J371</f>
        <v>0</v>
      </c>
      <c r="K365" s="439">
        <f ca="1">IF(I365&gt;0,J365*100/I365,0)</f>
        <v>0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IFERROR(__xludf.DUMMYFUNCTION("IMPORTRANGE(""https://docs.google.com/spreadsheets/d/1tdoBKaGub7dwA3U6UFTqxio9LNnvDCQjHKmttSEBsFQ/edit?usp=sharing"",""จัดที่ดิน!AB84"")"),0)</f>
        <v>0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IFERROR(__xludf.DUMMYFUNCTION("IMPORTRANGE(""https://docs.google.com/spreadsheets/d/1eHaY18a8A9IcSdp1K8H6x8fbOy06t2VsZHhMHf-1x7Y/edit?usp=sharing"",""แผน!EW84"")"),460)</f>
        <v>460</v>
      </c>
      <c r="J368" s="528">
        <f ca="1">IFERROR(__xludf.DUMMYFUNCTION("IMPORTRANGE(""https://docs.google.com/spreadsheets/d/1tdoBKaGub7dwA3U6UFTqxio9LNnvDCQjHKmttSEBsFQ/edit?usp=sharing"",""จัดที่ดิน!AC84"")"),0)</f>
        <v>0</v>
      </c>
      <c r="K368" s="425">
        <f ca="1">IF(I368&gt;0,J368*100/I368,0)</f>
        <v>0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IFERROR(__xludf.DUMMYFUNCTION("IMPORTRANGE(""https://docs.google.com/spreadsheets/d/1eHaY18a8A9IcSdp1K8H6x8fbOy06t2VsZHhMHf-1x7Y/edit?usp=sharing"",""แผน!EX84"")"),59)</f>
        <v>59</v>
      </c>
      <c r="J369" s="424">
        <f ca="1">IFERROR(__xludf.DUMMYFUNCTION("IMPORTRANGE(""https://docs.google.com/spreadsheets/d/1tdoBKaGub7dwA3U6UFTqxio9LNnvDCQjHKmttSEBsFQ/edit?usp=sharing"",""จัดที่ดิน!AD84"")"),0)</f>
        <v>0</v>
      </c>
      <c r="K369" s="425">
        <f ca="1">IF(I369&gt;0,J369*100/I369,0)</f>
        <v>0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IFERROR(__xludf.DUMMYFUNCTION("IMPORTRANGE(""https://docs.google.com/spreadsheets/d/1tdoBKaGub7dwA3U6UFTqxio9LNnvDCQjHKmttSEBsFQ/edit?usp=sharing"",""จัดที่ดิน!AE84"")"),0)</f>
        <v>0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IFERROR(__xludf.DUMMYFUNCTION("IMPORTRANGE(""https://docs.google.com/spreadsheets/d/1eHaY18a8A9IcSdp1K8H6x8fbOy06t2VsZHhMHf-1x7Y/edit?usp=sharing"",""แผน!EY84"")"),42)</f>
        <v>42</v>
      </c>
      <c r="J371" s="424">
        <f ca="1">IFERROR(__xludf.DUMMYFUNCTION("IMPORTRANGE(""https://docs.google.com/spreadsheets/d/1tdoBKaGub7dwA3U6UFTqxio9LNnvDCQjHKmttSEBsFQ/edit?usp=sharing"",""จัดที่ดิน!AF84"")"),0)</f>
        <v>0</v>
      </c>
      <c r="K371" s="425">
        <f ca="1">IF(I371&gt;0,J371*100/I371,0)</f>
        <v>0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IFERROR(__xludf.DUMMYFUNCTION("IMPORTRANGE(""https://docs.google.com/spreadsheets/d/1tdoBKaGub7dwA3U6UFTqxio9LNnvDCQjHKmttSEBsFQ/edit?usp=sharing"",""จัดที่ดิน!AG84"")"),0)</f>
        <v>0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IFERROR(__xludf.DUMMYFUNCTION("IMPORTRANGE(""https://docs.google.com/spreadsheets/d/1-uDff_7J0KD5mKrp0Vvzr7lt3OU09vwQwhkpOPPYv2Y/edit?usp=sharing"",""งบพรบ!FM84"")"),0)</f>
        <v>0</v>
      </c>
      <c r="M382" s="544">
        <f ca="1">IFERROR(__xludf.DUMMYFUNCTION("IMPORTRANGE(""https://docs.google.com/spreadsheets/d/1-uDff_7J0KD5mKrp0Vvzr7lt3OU09vwQwhkpOPPYv2Y/edit?usp=sharing"",""งบพรบ!FR84"")"),0)</f>
        <v>0</v>
      </c>
      <c r="N382" s="544">
        <f ca="1">IFERROR(__xludf.DUMMYFUNCTION("IMPORTRANGE(""https://docs.google.com/spreadsheets/d/1-uDff_7J0KD5mKrp0Vvzr7lt3OU09vwQwhkpOPPYv2Y/edit?usp=sharing"",""งบพรบ!FT84"")"),0)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IFERROR(__xludf.DUMMYFUNCTION("IMPORTRANGE(""https://docs.google.com/spreadsheets/d/1-uDff_7J0KD5mKrp0Vvzr7lt3OU09vwQwhkpOPPYv2Y/edit?usp=sharing"",""งบพรบ!FP84"")"),0)</f>
        <v>0</v>
      </c>
      <c r="M385" s="544">
        <f ca="1">IFERROR(__xludf.DUMMYFUNCTION("IMPORTRANGE(""https://docs.google.com/spreadsheets/d/1-uDff_7J0KD5mKrp0Vvzr7lt3OU09vwQwhkpOPPYv2Y/edit?usp=sharing"",""งบพรบ!FS84"")"),0)</f>
        <v>0</v>
      </c>
      <c r="N385" s="544">
        <f ca="1">IFERROR(__xludf.DUMMYFUNCTION("IMPORTRANGE(""https://docs.google.com/spreadsheets/d/1-uDff_7J0KD5mKrp0Vvzr7lt3OU09vwQwhkpOPPYv2Y/edit?usp=sharing"",""งบพรบ!FU84"")"),0)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2442-F82C-42B3-ACBF-5A1521D16345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171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1368850</v>
      </c>
      <c r="M18" s="709">
        <f ca="1">M19+M20</f>
        <v>1087250</v>
      </c>
      <c r="N18" s="709">
        <f ca="1">N19+N20</f>
        <v>343197.67</v>
      </c>
      <c r="O18" s="709">
        <f ca="1">IF(L18&gt;0,N18*100/L18,0)</f>
        <v>25.071970632282572</v>
      </c>
      <c r="P18" s="709">
        <f ca="1">IF(M18&gt;0,N18*100/M18,0)</f>
        <v>31.565662911014027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1368850</v>
      </c>
      <c r="M20" s="822">
        <f ca="1">M23+M26</f>
        <v>1087250</v>
      </c>
      <c r="N20" s="822">
        <f ca="1">N23+N26</f>
        <v>343197.67</v>
      </c>
      <c r="O20" s="822">
        <f ca="1">IF(L20&gt;0,N20*100/L20,0)</f>
        <v>25.071970632282572</v>
      </c>
      <c r="P20" s="822">
        <f ca="1">IF(M20&gt;0,N20*100/M20,0)</f>
        <v>31.565662911014027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1368850</v>
      </c>
      <c r="M21" s="425">
        <f ca="1">M22+M23</f>
        <v>1087250</v>
      </c>
      <c r="N21" s="425">
        <f ca="1">N22+N23</f>
        <v>343197.67</v>
      </c>
      <c r="O21" s="425">
        <f ca="1">IF(L21&gt;0,N21*100/L21,0)</f>
        <v>25.071970632282572</v>
      </c>
      <c r="P21" s="425">
        <f ca="1">IF(M21&gt;0,N21*100/M21,0)</f>
        <v>31.565662911014027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1368850</v>
      </c>
      <c r="M23" s="425">
        <f ca="1">M49+M64+M77+M99+M130+M144+M162+M191+M178+M271+M287+M308+M325+M338+M361+M382</f>
        <v>1087250</v>
      </c>
      <c r="N23" s="425">
        <f ca="1">N49+N64+N77+N99+N130+N144+N162+N191+N178+N271+N287+N308+N325+N338+N361+N382</f>
        <v>343197.67</v>
      </c>
      <c r="O23" s="425">
        <f ca="1">IF(L23&gt;0,N23*100/L23,0)</f>
        <v>25.071970632282572</v>
      </c>
      <c r="P23" s="425">
        <f ca="1">IF(M23&gt;0,N23*100/M23,0)</f>
        <v>31.565662911014027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1368850</v>
      </c>
      <c r="M40" s="814">
        <f ca="1">M44+M59+M72+M94+M125+M139+M157+M173+M186+M266+M282+M303+M320+M333+M356</f>
        <v>1087250</v>
      </c>
      <c r="N40" s="814">
        <f ca="1">N44+N59+N72+N94+N125+N139+N157+N173+N186+N266+N282+N303+N320+N333+N356</f>
        <v>343197.67</v>
      </c>
      <c r="O40" s="814">
        <f ca="1">IF(L40&gt;0,N40*100/L40,0)</f>
        <v>25.071970632282572</v>
      </c>
      <c r="P40" s="814">
        <f ca="1">IF(M40&gt;0,N40*100/M40,0)</f>
        <v>31.565662911014027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134400</v>
      </c>
      <c r="M44" s="799">
        <f ca="1">M45+M46</f>
        <v>143400</v>
      </c>
      <c r="N44" s="799">
        <f ca="1">N45+N46</f>
        <v>43500</v>
      </c>
      <c r="O44" s="799">
        <f ca="1">IF(L44&gt;0,N44*100/L44,0)</f>
        <v>32.366071428571431</v>
      </c>
      <c r="P44" s="799">
        <f ca="1">IF(M44&gt;0,N44*100/M44,0)</f>
        <v>30.334728033472803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134400</v>
      </c>
      <c r="M46" s="788">
        <f ca="1">M49+M52</f>
        <v>143400</v>
      </c>
      <c r="N46" s="788">
        <f ca="1">N49+N52</f>
        <v>43500</v>
      </c>
      <c r="O46" s="788">
        <f ca="1">IF(L46&gt;0,N46*100/L46,0)</f>
        <v>32.366071428571431</v>
      </c>
      <c r="P46" s="788">
        <f ca="1">IF(M46&gt;0,N46*100/M46,0)</f>
        <v>30.334728033472803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134400</v>
      </c>
      <c r="M47" s="425">
        <f ca="1">M48+M49</f>
        <v>143400</v>
      </c>
      <c r="N47" s="425">
        <f ca="1">N48+N49</f>
        <v>43500</v>
      </c>
      <c r="O47" s="425">
        <f ca="1">IF(L47&gt;0,N47*100/L47,0)</f>
        <v>32.366071428571431</v>
      </c>
      <c r="P47" s="425">
        <f ca="1">IF(M47&gt;0,N47*100/M47,0)</f>
        <v>30.334728033472803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IFERROR(__xludf.DUMMYFUNCTION("IMPORTRANGE(""https://docs.google.com/spreadsheets/d/1-uDff_7J0KD5mKrp0Vvzr7lt3OU09vwQwhkpOPPYv2Y/edit?usp=sharing"",""งบพรบ!P85"")"),134400)</f>
        <v>134400</v>
      </c>
      <c r="M49" s="425">
        <f ca="1">IFERROR(__xludf.DUMMYFUNCTION("IMPORTRANGE(""https://docs.google.com/spreadsheets/d/1-uDff_7J0KD5mKrp0Vvzr7lt3OU09vwQwhkpOPPYv2Y/edit?usp=sharing"",""งบพรบ!V85"")"),143400)</f>
        <v>143400</v>
      </c>
      <c r="N49" s="425">
        <f ca="1">IFERROR(__xludf.DUMMYFUNCTION("IMPORTRANGE(""https://docs.google.com/spreadsheets/d/1-uDff_7J0KD5mKrp0Vvzr7lt3OU09vwQwhkpOPPYv2Y/edit?usp=sharing"",""งบพรบ!Y85"")"),43500)</f>
        <v>43500</v>
      </c>
      <c r="O49" s="425">
        <f ca="1">IF(L49&gt;0,N49*100/L49,0)</f>
        <v>32.366071428571431</v>
      </c>
      <c r="P49" s="425">
        <f ca="1">IF(M49&gt;0,N49*100/M49,0)</f>
        <v>30.334728033472803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IFERROR(__xludf.DUMMYFUNCTION("IMPORTRANGE(""https://docs.google.com/spreadsheets/d/1-uDff_7J0KD5mKrp0Vvzr7lt3OU09vwQwhkpOPPYv2Y/edit?usp=sharing"",""งบพรบ!S85"")"),0)</f>
        <v>0</v>
      </c>
      <c r="M52" s="425">
        <f ca="1">IFERROR(__xludf.DUMMYFUNCTION("IMPORTRANGE(""https://docs.google.com/spreadsheets/d/1-uDff_7J0KD5mKrp0Vvzr7lt3OU09vwQwhkpOPPYv2Y/edit?usp=sharing"",""งบพรบ!W85"")"),0)</f>
        <v>0</v>
      </c>
      <c r="N52" s="425">
        <f ca="1">IFERROR(__xludf.DUMMYFUNCTION("IMPORTRANGE(""https://docs.google.com/spreadsheets/d/1-uDff_7J0KD5mKrp0Vvzr7lt3OU09vwQwhkpOPPYv2Y/edit?usp=sharing"",""งบพรบ!Z85"")"),0)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435600</v>
      </c>
      <c r="M59" s="768">
        <f ca="1">M60+M61</f>
        <v>328850</v>
      </c>
      <c r="N59" s="768">
        <f ca="1">N60+N61</f>
        <v>153641</v>
      </c>
      <c r="O59" s="768">
        <f ca="1">IF(L59&gt;0,N59*100/L59,0)</f>
        <v>35.271120293847567</v>
      </c>
      <c r="P59" s="768">
        <f ca="1">IF(M59&gt;0,N59*100/M59,0)</f>
        <v>46.720693325224268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435600</v>
      </c>
      <c r="M61" s="757">
        <f ca="1">M64+M67</f>
        <v>328850</v>
      </c>
      <c r="N61" s="757">
        <f ca="1">N64+N67</f>
        <v>153641</v>
      </c>
      <c r="O61" s="757">
        <f ca="1">IF(L61&gt;0,N61*100/L61,0)</f>
        <v>35.271120293847567</v>
      </c>
      <c r="P61" s="757">
        <f ca="1">IF(M61&gt;0,N61*100/M61,0)</f>
        <v>46.720693325224268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435600</v>
      </c>
      <c r="M62" s="425">
        <f ca="1">M63+M64</f>
        <v>328850</v>
      </c>
      <c r="N62" s="425">
        <f ca="1">N63+N64</f>
        <v>153641</v>
      </c>
      <c r="O62" s="425">
        <f ca="1">IF(L62&gt;0,N62*100/L62,0)</f>
        <v>35.271120293847567</v>
      </c>
      <c r="P62" s="425">
        <f ca="1">IF(M62&gt;0,N62*100/M62,0)</f>
        <v>46.720693325224268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IFERROR(__xludf.DUMMYFUNCTION("IMPORTRANGE(""https://docs.google.com/spreadsheets/d/1-uDff_7J0KD5mKrp0Vvzr7lt3OU09vwQwhkpOPPYv2Y/edit?usp=sharing"",""งบพรบ!AC85"")"),435600)</f>
        <v>435600</v>
      </c>
      <c r="M64" s="425">
        <f ca="1">IFERROR(__xludf.DUMMYFUNCTION("IMPORTRANGE(""https://docs.google.com/spreadsheets/d/1-uDff_7J0KD5mKrp0Vvzr7lt3OU09vwQwhkpOPPYv2Y/edit?usp=sharing"",""งบพรบ!AH85"")"),328850)</f>
        <v>328850</v>
      </c>
      <c r="N64" s="425">
        <f ca="1">IFERROR(__xludf.DUMMYFUNCTION("IMPORTRANGE(""https://docs.google.com/spreadsheets/d/1-uDff_7J0KD5mKrp0Vvzr7lt3OU09vwQwhkpOPPYv2Y/edit?usp=sharing"",""งบพรบ!AJ85"")"),153641)</f>
        <v>153641</v>
      </c>
      <c r="O64" s="425">
        <f ca="1">IF(L64&gt;0,N64*100/L64,0)</f>
        <v>35.271120293847567</v>
      </c>
      <c r="P64" s="425">
        <f ca="1">IF(M64&gt;0,N64*100/M64,0)</f>
        <v>46.720693325224268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IFERROR(__xludf.DUMMYFUNCTION("IMPORTRANGE(""https://docs.google.com/spreadsheets/d/1-uDff_7J0KD5mKrp0Vvzr7lt3OU09vwQwhkpOPPYv2Y/edit?usp=sharing"",""งบพรบ!AF85"")"),0)</f>
        <v>0</v>
      </c>
      <c r="M67" s="752">
        <f ca="1">IFERROR(__xludf.DUMMYFUNCTION("IMPORTRANGE(""https://docs.google.com/spreadsheets/d/1-uDff_7J0KD5mKrp0Vvzr7lt3OU09vwQwhkpOPPYv2Y/edit?usp=sharing"",""งบพรบ!AI85"")"),0)</f>
        <v>0</v>
      </c>
      <c r="N67" s="752">
        <f ca="1">IFERROR(__xludf.DUMMYFUNCTION("IMPORTRANGE(""https://docs.google.com/spreadsheets/d/1-uDff_7J0KD5mKrp0Vvzr7lt3OU09vwQwhkpOPPYv2Y/edit?usp=sharing"",""งบพรบ!AK85"")"),0)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IFERROR(__xludf.DUMMYFUNCTION("IMPORTRANGE(""https://docs.google.com/spreadsheets/d/1-uDff_7J0KD5mKrp0Vvzr7lt3OU09vwQwhkpOPPYv2Y/edit?usp=sharing"",""งบพรบ!AM85"")"),0)</f>
        <v>0</v>
      </c>
      <c r="M77" s="425">
        <f ca="1">IFERROR(__xludf.DUMMYFUNCTION("IMPORTRANGE(""https://docs.google.com/spreadsheets/d/1-uDff_7J0KD5mKrp0Vvzr7lt3OU09vwQwhkpOPPYv2Y/edit?usp=sharing"",""งบพรบ!AR85"")"),0)</f>
        <v>0</v>
      </c>
      <c r="N77" s="425">
        <f ca="1">IFERROR(__xludf.DUMMYFUNCTION("IMPORTRANGE(""https://docs.google.com/spreadsheets/d/1-uDff_7J0KD5mKrp0Vvzr7lt3OU09vwQwhkpOPPYv2Y/edit?usp=sharing"",""งบพรบ!AT85"")"),0)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IFERROR(__xludf.DUMMYFUNCTION("IMPORTRANGE(""https://docs.google.com/spreadsheets/d/1-uDff_7J0KD5mKrp0Vvzr7lt3OU09vwQwhkpOPPYv2Y/edit?usp=sharing"",""งบพรบ!AP85"")"),0)</f>
        <v>0</v>
      </c>
      <c r="M80" s="425">
        <f ca="1">IFERROR(__xludf.DUMMYFUNCTION("IMPORTRANGE(""https://docs.google.com/spreadsheets/d/1-uDff_7J0KD5mKrp0Vvzr7lt3OU09vwQwhkpOPPYv2Y/edit?usp=sharing"",""งบพรบ!AS85"")"),0)</f>
        <v>0</v>
      </c>
      <c r="N80" s="425">
        <f ca="1">IFERROR(__xludf.DUMMYFUNCTION("IMPORTRANGE(""https://docs.google.com/spreadsheets/d/1-uDff_7J0KD5mKrp0Vvzr7lt3OU09vwQwhkpOPPYv2Y/edit?usp=sharing"",""งบพรบ!AU85"")"),0)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IFERROR(__xludf.DUMMYFUNCTION("IMPORTRANGE(""https://docs.google.com/spreadsheets/d/1eHaY18a8A9IcSdp1K8H6x8fbOy06t2VsZHhMHf-1x7Y/edit?usp=sharing"",""แผน!H85"")"),0)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IFERROR(__xludf.DUMMYFUNCTION("IMPORTRANGE(""https://docs.google.com/spreadsheets/d/1eHaY18a8A9IcSdp1K8H6x8fbOy06t2VsZHhMHf-1x7Y/edit?usp=sharing"",""แผน!I85"")"),0)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IFERROR(__xludf.DUMMYFUNCTION("IMPORTRANGE(""https://docs.google.com/spreadsheets/d/1eHaY18a8A9IcSdp1K8H6x8fbOy06t2VsZHhMHf-1x7Y/edit?usp=sharing"",""แผน!F85"")"),0)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IFERROR(__xludf.DUMMYFUNCTION("IMPORTRANGE(""https://docs.google.com/spreadsheets/d/1eHaY18a8A9IcSdp1K8H6x8fbOy06t2VsZHhMHf-1x7Y/edit?usp=sharing"",""แผน!G85"")"),0)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IFERROR(__xludf.DUMMYFUNCTION("IMPORTRANGE(""https://docs.google.com/spreadsheets/d/1eHaY18a8A9IcSdp1K8H6x8fbOy06t2VsZHhMHf-1x7Y/edit?usp=sharing"",""แผน!D85"")"),0)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IFERROR(__xludf.DUMMYFUNCTION("IMPORTRANGE(""https://docs.google.com/spreadsheets/d/1eHaY18a8A9IcSdp1K8H6x8fbOy06t2VsZHhMHf-1x7Y/edit?usp=sharing"",""แผน!E85"")"),0)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IFERROR(__xludf.DUMMYFUNCTION("IMPORTRANGE(""https://docs.google.com/spreadsheets/d/1eHaY18a8A9IcSdp1K8H6x8fbOy06t2VsZHhMHf-1x7Y/edit?usp=sharing"",""แผน!J85"")"),0)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IFERROR(__xludf.DUMMYFUNCTION("IMPORTRANGE(""https://docs.google.com/spreadsheets/d/1-uDff_7J0KD5mKrp0Vvzr7lt3OU09vwQwhkpOPPYv2Y/edit?usp=sharing"",""งบพรบ!AW85"")"),0)</f>
        <v>0</v>
      </c>
      <c r="M99" s="425">
        <f ca="1">IFERROR(__xludf.DUMMYFUNCTION("IMPORTRANGE(""https://docs.google.com/spreadsheets/d/1-uDff_7J0KD5mKrp0Vvzr7lt3OU09vwQwhkpOPPYv2Y/edit?usp=sharing"",""งบพรบ!BB85"")"),0)</f>
        <v>0</v>
      </c>
      <c r="N99" s="425">
        <f ca="1">IFERROR(__xludf.DUMMYFUNCTION("IMPORTRANGE(""https://docs.google.com/spreadsheets/d/1-uDff_7J0KD5mKrp0Vvzr7lt3OU09vwQwhkpOPPYv2Y/edit?usp=sharing"",""งบพรบ!BD85"")"),0)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IFERROR(__xludf.DUMMYFUNCTION("IMPORTRANGE(""https://docs.google.com/spreadsheets/d/1-uDff_7J0KD5mKrp0Vvzr7lt3OU09vwQwhkpOPPYv2Y/edit?usp=sharing"",""งบพรบ!AZ85"")"),0)</f>
        <v>0</v>
      </c>
      <c r="M102" s="425">
        <f ca="1">IFERROR(__xludf.DUMMYFUNCTION("IMPORTRANGE(""https://docs.google.com/spreadsheets/d/1-uDff_7J0KD5mKrp0Vvzr7lt3OU09vwQwhkpOPPYv2Y/edit?usp=sharing"",""งบพรบ!BC85"")"),0)</f>
        <v>0</v>
      </c>
      <c r="N102" s="425">
        <f ca="1">IFERROR(__xludf.DUMMYFUNCTION("IMPORTRANGE(""https://docs.google.com/spreadsheets/d/1-uDff_7J0KD5mKrp0Vvzr7lt3OU09vwQwhkpOPPYv2Y/edit?usp=sharing"",""งบพรบ!BE85"")"),0)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IFERROR(__xludf.DUMMYFUNCTION("IMPORTRANGE(""https://docs.google.com/spreadsheets/d/1eHaY18a8A9IcSdp1K8H6x8fbOy06t2VsZHhMHf-1x7Y/edit?usp=sharing"",""แผน!N85"")"),0)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IFERROR(__xludf.DUMMYFUNCTION("IMPORTRANGE(""https://docs.google.com/spreadsheets/d/1eHaY18a8A9IcSdp1K8H6x8fbOy06t2VsZHhMHf-1x7Y/edit?usp=sharing"",""แผน!O85"")"),0)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IFERROR(__xludf.DUMMYFUNCTION("IMPORTRANGE(""https://docs.google.com/spreadsheets/d/1eHaY18a8A9IcSdp1K8H6x8fbOy06t2VsZHhMHf-1x7Y/edit?usp=sharing"",""แผน!R85"")"),0)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IFERROR(__xludf.DUMMYFUNCTION("IMPORTRANGE(""https://docs.google.com/spreadsheets/d/1-uDff_7J0KD5mKrp0Vvzr7lt3OU09vwQwhkpOPPYv2Y/edit?usp=sharing"",""งบพรบ!BG85"")"),0)</f>
        <v>0</v>
      </c>
      <c r="M130" s="728">
        <f ca="1">IFERROR(__xludf.DUMMYFUNCTION("IMPORTRANGE(""https://docs.google.com/spreadsheets/d/1-uDff_7J0KD5mKrp0Vvzr7lt3OU09vwQwhkpOPPYv2Y/edit?usp=sharing"",""งบพรบ!BL85"")"),0)</f>
        <v>0</v>
      </c>
      <c r="N130" s="728">
        <f ca="1">IFERROR(__xludf.DUMMYFUNCTION("IMPORTRANGE(""https://docs.google.com/spreadsheets/d/1-uDff_7J0KD5mKrp0Vvzr7lt3OU09vwQwhkpOPPYv2Y/edit?usp=sharing"",""งบพรบ!BN85"")"),0)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IFERROR(__xludf.DUMMYFUNCTION("IMPORTRANGE(""https://docs.google.com/spreadsheets/d/1-uDff_7J0KD5mKrp0Vvzr7lt3OU09vwQwhkpOPPYv2Y/edit?usp=sharing"",""งบพรบ!BJ85"")"),0)</f>
        <v>0</v>
      </c>
      <c r="M133" s="728">
        <f ca="1">IFERROR(__xludf.DUMMYFUNCTION("IMPORTRANGE(""https://docs.google.com/spreadsheets/d/1-uDff_7J0KD5mKrp0Vvzr7lt3OU09vwQwhkpOPPYv2Y/edit?usp=sharing"",""งบพรบ!BM85"")"),0)</f>
        <v>0</v>
      </c>
      <c r="N133" s="728">
        <f ca="1">IFERROR(__xludf.DUMMYFUNCTION("IMPORTRANGE(""https://docs.google.com/spreadsheets/d/1-uDff_7J0KD5mKrp0Vvzr7lt3OU09vwQwhkpOPPYv2Y/edit?usp=sharing"",""งบพรบ!BO85"")"),0)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2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30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3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66500</v>
      </c>
      <c r="M139" s="550">
        <f ca="1">M140+M141</f>
        <v>61500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66500</v>
      </c>
      <c r="M141" s="425">
        <f ca="1">M144+M147</f>
        <v>61500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66500</v>
      </c>
      <c r="M142" s="425">
        <f ca="1">M143+M144</f>
        <v>61500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IFERROR(__xludf.DUMMYFUNCTION("IMPORTRANGE(""https://docs.google.com/spreadsheets/d/1-uDff_7J0KD5mKrp0Vvzr7lt3OU09vwQwhkpOPPYv2Y/edit?usp=sharing"",""งบพรบ!BQ85"")"),66500)</f>
        <v>66500</v>
      </c>
      <c r="M144" s="425">
        <f ca="1">IFERROR(__xludf.DUMMYFUNCTION("IMPORTRANGE(""https://docs.google.com/spreadsheets/d/1-uDff_7J0KD5mKrp0Vvzr7lt3OU09vwQwhkpOPPYv2Y/edit?usp=sharing"",""งบพรบ!BV85"")"),61500)</f>
        <v>61500</v>
      </c>
      <c r="N144" s="425">
        <f ca="1">IFERROR(__xludf.DUMMYFUNCTION("IMPORTRANGE(""https://docs.google.com/spreadsheets/d/1-uDff_7J0KD5mKrp0Vvzr7lt3OU09vwQwhkpOPPYv2Y/edit?usp=sharing"",""งบพรบ!BX85"")"),0)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IFERROR(__xludf.DUMMYFUNCTION("IMPORTRANGE(""https://docs.google.com/spreadsheets/d/1-uDff_7J0KD5mKrp0Vvzr7lt3OU09vwQwhkpOPPYv2Y/edit?usp=sharing"",""งบพรบ!BT85"")"),0)</f>
        <v>0</v>
      </c>
      <c r="M147" s="425">
        <f ca="1">IFERROR(__xludf.DUMMYFUNCTION("IMPORTRANGE(""https://docs.google.com/spreadsheets/d/1-uDff_7J0KD5mKrp0Vvzr7lt3OU09vwQwhkpOPPYv2Y/edit?usp=sharing"",""งบพรบ!BW85"")"),0)</f>
        <v>0</v>
      </c>
      <c r="N147" s="425">
        <f ca="1">IFERROR(__xludf.DUMMYFUNCTION("IMPORTRANGE(""https://docs.google.com/spreadsheets/d/1-uDff_7J0KD5mKrp0Vvzr7lt3OU09vwQwhkpOPPYv2Y/edit?usp=sharing"",""งบพรบ!BY85"")"),0)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IFERROR(__xludf.DUMMYFUNCTION("IMPORTRANGE(""https://docs.google.com/spreadsheets/d/1eHaY18a8A9IcSdp1K8H6x8fbOy06t2VsZHhMHf-1x7Y/edit?usp=sharing"",""แผน!U85"")"),20)</f>
        <v>20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IFERROR(__xludf.DUMMYFUNCTION("IMPORTRANGE(""https://docs.google.com/spreadsheets/d/1eHaY18a8A9IcSdp1K8H6x8fbOy06t2VsZHhMHf-1x7Y/edit?usp=sharing"",""แผน!V85"")"),2)</f>
        <v>2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IFERROR(__xludf.DUMMYFUNCTION("IMPORTRANGE(""https://docs.google.com/spreadsheets/d/1eHaY18a8A9IcSdp1K8H6x8fbOy06t2VsZHhMHf-1x7Y/edit?usp=sharing"",""แผน!W85"")"),30)</f>
        <v>30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IFERROR(__xludf.DUMMYFUNCTION("IMPORTRANGE(""https://docs.google.com/spreadsheets/d/1eHaY18a8A9IcSdp1K8H6x8fbOy06t2VsZHhMHf-1x7Y/edit?usp=sharing"",""แผน!X85"")"),3)</f>
        <v>3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IFERROR(__xludf.DUMMYFUNCTION("IMPORTRANGE(""https://docs.google.com/spreadsheets/d/1eHaY18a8A9IcSdp1K8H6x8fbOy06t2VsZHhMHf-1x7Y/edit?usp=sharing"",""แผน!Y85"")"),2)</f>
        <v>2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IFERROR(__xludf.DUMMYFUNCTION("IMPORTRANGE(""https://docs.google.com/spreadsheets/d/1-uDff_7J0KD5mKrp0Vvzr7lt3OU09vwQwhkpOPPYv2Y/edit?usp=sharing"",""งบพรบ!CA85"")"),0)</f>
        <v>0</v>
      </c>
      <c r="M162" s="425">
        <f ca="1">IFERROR(__xludf.DUMMYFUNCTION("IMPORTRANGE(""https://docs.google.com/spreadsheets/d/1-uDff_7J0KD5mKrp0Vvzr7lt3OU09vwQwhkpOPPYv2Y/edit?usp=sharing"",""งบพรบ!CF85"")"),0)</f>
        <v>0</v>
      </c>
      <c r="N162" s="425">
        <f ca="1">IFERROR(__xludf.DUMMYFUNCTION("IMPORTRANGE(""https://docs.google.com/spreadsheets/d/1-uDff_7J0KD5mKrp0Vvzr7lt3OU09vwQwhkpOPPYv2Y/edit?usp=sharing"",""งบพรบ!CH85"")"),0)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IFERROR(__xludf.DUMMYFUNCTION("IMPORTRANGE(""https://docs.google.com/spreadsheets/d/1-uDff_7J0KD5mKrp0Vvzr7lt3OU09vwQwhkpOPPYv2Y/edit?usp=sharing"",""งบพรบ!CD85"")"),0)</f>
        <v>0</v>
      </c>
      <c r="M165" s="425">
        <f ca="1">IFERROR(__xludf.DUMMYFUNCTION("IMPORTRANGE(""https://docs.google.com/spreadsheets/d/1-uDff_7J0KD5mKrp0Vvzr7lt3OU09vwQwhkpOPPYv2Y/edit?usp=sharing"",""งบพรบ!CG85"")"),0)</f>
        <v>0</v>
      </c>
      <c r="N165" s="425">
        <f ca="1">IFERROR(__xludf.DUMMYFUNCTION("IMPORTRANGE(""https://docs.google.com/spreadsheets/d/1-uDff_7J0KD5mKrp0Vvzr7lt3OU09vwQwhkpOPPYv2Y/edit?usp=sharing"",""งบพรบ!CI85"")"),0)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IFERROR(__xludf.DUMMYFUNCTION("IMPORTRANGE(""https://docs.google.com/spreadsheets/d/1eHaY18a8A9IcSdp1K8H6x8fbOy06t2VsZHhMHf-1x7Y/edit?usp=sharing"",""แผน!Z85"")"),0)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IFERROR(__xludf.DUMMYFUNCTION("IMPORTRANGE(""https://docs.google.com/spreadsheets/d/1eHaY18a8A9IcSdp1K8H6x8fbOy06t2VsZHhMHf-1x7Y/edit?usp=sharing"",""แผน!Z85"")"),0)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IFERROR(__xludf.DUMMYFUNCTION("IMPORTRANGE(""https://docs.google.com/spreadsheets/d/1eHaY18a8A9IcSdp1K8H6x8fbOy06t2VsZHhMHf-1x7Y/edit?usp=sharing"",""แผน!Z85"")"),0)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0</v>
      </c>
      <c r="O173" s="550">
        <f ca="1">IF(L173&gt;0,N173*100/L173,0)</f>
        <v>0</v>
      </c>
      <c r="P173" s="550">
        <f ca="1">IF(M173&gt;0,N173*100/M173,0)</f>
        <v>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IFERROR(__xludf.DUMMYFUNCTION("IMPORTRANGE(""https://docs.google.com/spreadsheets/d/1-uDff_7J0KD5mKrp0Vvzr7lt3OU09vwQwhkpOPPYv2Y/edit?usp=sharing"",""งบพรบ!CK85"")"),19590)</f>
        <v>19590</v>
      </c>
      <c r="M178" s="425">
        <f ca="1">IFERROR(__xludf.DUMMYFUNCTION("IMPORTRANGE(""https://docs.google.com/spreadsheets/d/1-uDff_7J0KD5mKrp0Vvzr7lt3OU09vwQwhkpOPPYv2Y/edit?usp=sharing"",""งบพรบ!CP85"")"),19590)</f>
        <v>19590</v>
      </c>
      <c r="N178" s="425">
        <f ca="1">IFERROR(__xludf.DUMMYFUNCTION("IMPORTRANGE(""https://docs.google.com/spreadsheets/d/1-uDff_7J0KD5mKrp0Vvzr7lt3OU09vwQwhkpOPPYv2Y/edit?usp=sharing"",""งบพรบ!CR85"")"),0)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IFERROR(__xludf.DUMMYFUNCTION("IMPORTRANGE(""https://docs.google.com/spreadsheets/d/1-uDff_7J0KD5mKrp0Vvzr7lt3OU09vwQwhkpOPPYv2Y/edit?usp=sharing"",""งบพรบ!CN85"")"),0)</f>
        <v>0</v>
      </c>
      <c r="M181" s="425">
        <f ca="1">IFERROR(__xludf.DUMMYFUNCTION("IMPORTRANGE(""https://docs.google.com/spreadsheets/d/1-uDff_7J0KD5mKrp0Vvzr7lt3OU09vwQwhkpOPPYv2Y/edit?usp=sharing"",""งบพรบ!CQ85"")"),0)</f>
        <v>0</v>
      </c>
      <c r="N181" s="425">
        <f ca="1">IFERROR(__xludf.DUMMYFUNCTION("IMPORTRANGE(""https://docs.google.com/spreadsheets/d/1-uDff_7J0KD5mKrp0Vvzr7lt3OU09vwQwhkpOPPYv2Y/edit?usp=sharing"",""งบพรบ!CS85"")"),0)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IFERROR(__xludf.DUMMYFUNCTION("IMPORTRANGE(""https://docs.google.com/spreadsheets/d/1eHaY18a8A9IcSdp1K8H6x8fbOy06t2VsZHhMHf-1x7Y/edit?usp=sharing"",""แผน!AA85"")"),7)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270600</v>
      </c>
      <c r="M186" s="550">
        <f ca="1">M187+M188</f>
        <v>190000</v>
      </c>
      <c r="N186" s="550">
        <f ca="1">N187+N188</f>
        <v>66820</v>
      </c>
      <c r="O186" s="550">
        <f ca="1">IF(L186&gt;0,N186*100/L186,0)</f>
        <v>24.693274205469326</v>
      </c>
      <c r="P186" s="550">
        <f ca="1">IF(M186&gt;0,N186*100/M186,0)</f>
        <v>35.168421052631579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270600</v>
      </c>
      <c r="M188" s="425">
        <f ca="1">M191+M194</f>
        <v>190000</v>
      </c>
      <c r="N188" s="425">
        <f ca="1">N191+N194</f>
        <v>66820</v>
      </c>
      <c r="O188" s="425">
        <f ca="1">IF(L188&gt;0,N188*100/L188,0)</f>
        <v>24.693274205469326</v>
      </c>
      <c r="P188" s="425">
        <f ca="1">IF(M188&gt;0,N188*100/M188,0)</f>
        <v>35.168421052631579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270600</v>
      </c>
      <c r="M189" s="425">
        <f ca="1">M190+M191</f>
        <v>190000</v>
      </c>
      <c r="N189" s="425">
        <f ca="1">N190+N191</f>
        <v>66820</v>
      </c>
      <c r="O189" s="425">
        <f ca="1">IF(L189&gt;0,N189*100/L189,0)</f>
        <v>24.693274205469326</v>
      </c>
      <c r="P189" s="425">
        <f ca="1">IF(M189&gt;0,N189*100/M189,0)</f>
        <v>35.168421052631579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IFERROR(__xludf.DUMMYFUNCTION("IMPORTRANGE(""https://docs.google.com/spreadsheets/d/1-uDff_7J0KD5mKrp0Vvzr7lt3OU09vwQwhkpOPPYv2Y/edit?usp=sharing"",""งบพรบ!CU85"")"),270600)</f>
        <v>270600</v>
      </c>
      <c r="M191" s="425">
        <f ca="1">IFERROR(__xludf.DUMMYFUNCTION("IMPORTRANGE(""https://docs.google.com/spreadsheets/d/1-uDff_7J0KD5mKrp0Vvzr7lt3OU09vwQwhkpOPPYv2Y/edit?usp=sharing"",""งบพรบ!CZ85"")"),190000)</f>
        <v>190000</v>
      </c>
      <c r="N191" s="425">
        <f ca="1">IFERROR(__xludf.DUMMYFUNCTION("IMPORTRANGE(""https://docs.google.com/spreadsheets/d/1-uDff_7J0KD5mKrp0Vvzr7lt3OU09vwQwhkpOPPYv2Y/edit?usp=sharing"",""งบพรบ!DB85"")"),66820)</f>
        <v>66820</v>
      </c>
      <c r="O191" s="425">
        <f ca="1">IF(L191&gt;0,N191*100/L191,0)</f>
        <v>24.693274205469326</v>
      </c>
      <c r="P191" s="425">
        <f ca="1">IF(M191&gt;0,N191*100/M191,0)</f>
        <v>35.168421052631579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IFERROR(__xludf.DUMMYFUNCTION("IMPORTRANGE(""https://docs.google.com/spreadsheets/d/1-uDff_7J0KD5mKrp0Vvzr7lt3OU09vwQwhkpOPPYv2Y/edit?usp=sharing"",""งบพรบ!CX85"")"),0)</f>
        <v>0</v>
      </c>
      <c r="M194" s="425">
        <f ca="1">IFERROR(__xludf.DUMMYFUNCTION("IMPORTRANGE(""https://docs.google.com/spreadsheets/d/1-uDff_7J0KD5mKrp0Vvzr7lt3OU09vwQwhkpOPPYv2Y/edit?usp=sharing"",""งบพรบ!DA85"")"),0)</f>
        <v>0</v>
      </c>
      <c r="N194" s="425">
        <f ca="1">IFERROR(__xludf.DUMMYFUNCTION("IMPORTRANGE(""https://docs.google.com/spreadsheets/d/1-uDff_7J0KD5mKrp0Vvzr7lt3OU09vwQwhkpOPPYv2Y/edit?usp=sharing"",""งบพรบ!DC85"")"),0)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IFERROR(__xludf.DUMMYFUNCTION("IMPORTRANGE(""https://docs.google.com/spreadsheets/d/1eHaY18a8A9IcSdp1K8H6x8fbOy06t2VsZHhMHf-1x7Y/edit?usp=sharing"",""แผน!AB85"")"),6000)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IFERROR(__xludf.DUMMYFUNCTION("IMPORTRANGE(""https://docs.google.com/spreadsheets/d/1eHaY18a8A9IcSdp1K8H6x8fbOy06t2VsZHhMHf-1x7Y/edit?usp=sharing"",""แผน!AE85"")"),4)</f>
        <v>4</v>
      </c>
      <c r="J198" s="568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13000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IFERROR(__xludf.DUMMYFUNCTION("IMPORTRANGE(""https://docs.google.com/spreadsheets/d/1eHaY18a8A9IcSdp1K8H6x8fbOy06t2VsZHhMHf-1x7Y/edit?usp=sharing"",""แผน!AG85"")"),1000)</f>
        <v>1000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IFERROR(__xludf.DUMMYFUNCTION("IMPORTRANGE(""https://docs.google.com/spreadsheets/d/1eHaY18a8A9IcSdp1K8H6x8fbOy06t2VsZHhMHf-1x7Y/edit?usp=sharing"",""แผน!AH85"")"),0)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IFERROR(__xludf.DUMMYFUNCTION("IMPORTRANGE(""https://docs.google.com/spreadsheets/d/1eHaY18a8A9IcSdp1K8H6x8fbOy06t2VsZHhMHf-1x7Y/edit?usp=sharing"",""แผน!AI85"")"),8000)</f>
        <v>8000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IFERROR(__xludf.DUMMYFUNCTION("IMPORTRANGE(""https://docs.google.com/spreadsheets/d/1eHaY18a8A9IcSdp1K8H6x8fbOy06t2VsZHhMHf-1x7Y/edit?usp=sharing"",""แผน!AJ85"")"),4000)</f>
        <v>4000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IFERROR(__xludf.DUMMYFUNCTION("IMPORTRANGE(""https://docs.google.com/spreadsheets/d/1eHaY18a8A9IcSdp1K8H6x8fbOy06t2VsZHhMHf-1x7Y/edit?usp=sharing"",""แผน!AK85"")"),1)</f>
        <v>1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IFERROR(__xludf.DUMMYFUNCTION("IMPORTRANGE(""https://docs.google.com/spreadsheets/d/1eHaY18a8A9IcSdp1K8H6x8fbOy06t2VsZHhMHf-1x7Y/edit?usp=sharing"",""แผน!JX85"")"),1)</f>
        <v>1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IFERROR(__xludf.DUMMYFUNCTION("IMPORTRANGE(""https://docs.google.com/spreadsheets/d/1eHaY18a8A9IcSdp1K8H6x8fbOy06t2VsZHhMHf-1x7Y/edit?usp=sharing"",""แผน!JY85"")"),0)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IFERROR(__xludf.DUMMYFUNCTION("IMPORTRANGE(""https://docs.google.com/spreadsheets/d/1eHaY18a8A9IcSdp1K8H6x8fbOy06t2VsZHhMHf-1x7Y/edit?usp=sharing"",""แผน!AM85"")"),0)</f>
        <v>0</v>
      </c>
      <c r="M215" s="428"/>
      <c r="N215" s="683">
        <v>0</v>
      </c>
      <c r="O215" s="527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IFERROR(__xludf.DUMMYFUNCTION("IMPORTRANGE(""https://docs.google.com/spreadsheets/d/1eHaY18a8A9IcSdp1K8H6x8fbOy06t2VsZHhMHf-1x7Y/edit?usp=sharing"",""แผน!AN85"")"),0)</f>
        <v>0</v>
      </c>
      <c r="M216" s="428"/>
      <c r="N216" s="683">
        <v>0</v>
      </c>
      <c r="O216" s="527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IFERROR(__xludf.DUMMYFUNCTION("IMPORTRANGE(""https://docs.google.com/spreadsheets/d/1eHaY18a8A9IcSdp1K8H6x8fbOy06t2VsZHhMHf-1x7Y/edit?usp=sharing"",""แผน!AO85"")"),0)</f>
        <v>0</v>
      </c>
      <c r="M217" s="428"/>
      <c r="N217" s="683">
        <v>0</v>
      </c>
      <c r="O217" s="527"/>
      <c r="P217" s="428"/>
    </row>
    <row r="218" spans="1:16" ht="19.5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IFERROR(__xludf.DUMMYFUNCTION("IMPORTRANGE(""https://docs.google.com/spreadsheets/d/1eHaY18a8A9IcSdp1K8H6x8fbOy06t2VsZHhMHf-1x7Y/edit?usp=sharing"",""แผน!AP85"")"),0)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IFERROR(__xludf.DUMMYFUNCTION("IMPORTRANGE(""https://docs.google.com/spreadsheets/d/1eHaY18a8A9IcSdp1K8H6x8fbOy06t2VsZHhMHf-1x7Y/edit?usp=sharing"",""แผน!AP85"")"),0)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12800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IFERROR(__xludf.DUMMYFUNCTION("IMPORTRANGE(""https://docs.google.com/spreadsheets/d/1eHaY18a8A9IcSdp1K8H6x8fbOy06t2VsZHhMHf-1x7Y/edit?usp=sharing"",""แผน!AR85"")"),3000)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IFERROR(__xludf.DUMMYFUNCTION("IMPORTRANGE(""https://docs.google.com/spreadsheets/d/1eHaY18a8A9IcSdp1K8H6x8fbOy06t2VsZHhMHf-1x7Y/edit?usp=sharing"",""แผน!AS85"")"),1500)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IFERROR(__xludf.DUMMYFUNCTION("IMPORTRANGE(""https://docs.google.com/spreadsheets/d/1eHaY18a8A9IcSdp1K8H6x8fbOy06t2VsZHhMHf-1x7Y/edit?usp=sharing"",""แผน!AT85"")"),0)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IFERROR(__xludf.DUMMYFUNCTION("IMPORTRANGE(""https://docs.google.com/spreadsheets/d/1eHaY18a8A9IcSdp1K8H6x8fbOy06t2VsZHhMHf-1x7Y/edit?usp=sharing"",""แผน!AV85"")"),12800)</f>
        <v>12800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IFERROR(__xludf.DUMMYFUNCTION("IMPORTRANGE(""https://docs.google.com/spreadsheets/d/1eHaY18a8A9IcSdp1K8H6x8fbOy06t2VsZHhMHf-1x7Y/edit?usp=sharing"",""แผน!AV85"")"),12800)</f>
        <v>12800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IFERROR(__xludf.DUMMYFUNCTION("IMPORTRANGE(""https://docs.google.com/spreadsheets/d/1eHaY18a8A9IcSdp1K8H6x8fbOy06t2VsZHhMHf-1x7Y/edit?usp=sharing"",""แผน!AU85"")"),0)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IFERROR(__xludf.DUMMYFUNCTION("IMPORTRANGE(""https://docs.google.com/spreadsheets/d/1eHaY18a8A9IcSdp1K8H6x8fbOy06t2VsZHhMHf-1x7Y/edit?usp=sharing"",""แผน!AX85"")"),0)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IFERROR(__xludf.DUMMYFUNCTION("IMPORTRANGE(""https://docs.google.com/spreadsheets/d/1eHaY18a8A9IcSdp1K8H6x8fbOy06t2VsZHhMHf-1x7Y/edit?usp=sharing"",""แผน!AY85"")"),0)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IFERROR(__xludf.DUMMYFUNCTION("IMPORTRANGE(""https://docs.google.com/spreadsheets/d/1eHaY18a8A9IcSdp1K8H6x8fbOy06t2VsZHhMHf-1x7Y/edit?usp=sharing"",""แผน!AZ85"")"),0)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IFERROR(__xludf.DUMMYFUNCTION("IMPORTRANGE(""https://docs.google.com/spreadsheets/d/1eHaY18a8A9IcSdp1K8H6x8fbOy06t2VsZHhMHf-1x7Y/edit?usp=sharing"",""แผน!BA85"")"),0)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IFERROR(__xludf.DUMMYFUNCTION("IMPORTRANGE(""https://docs.google.com/spreadsheets/d/1eHaY18a8A9IcSdp1K8H6x8fbOy06t2VsZHhMHf-1x7Y/edit?usp=sharing"",""แผน!BG85"")"),0)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IFERROR(__xludf.DUMMYFUNCTION("IMPORTRANGE(""https://docs.google.com/spreadsheets/d/1eHaY18a8A9IcSdp1K8H6x8fbOy06t2VsZHhMHf-1x7Y/edit?usp=sharing"",""แผน!BB85"")"),0)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IFERROR(__xludf.DUMMYFUNCTION("IMPORTRANGE(""https://docs.google.com/spreadsheets/d/1eHaY18a8A9IcSdp1K8H6x8fbOy06t2VsZHhMHf-1x7Y/edit?usp=sharing"",""แผน!BC85"")"),0)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IFERROR(__xludf.DUMMYFUNCTION("IMPORTRANGE(""https://docs.google.com/spreadsheets/d/1eHaY18a8A9IcSdp1K8H6x8fbOy06t2VsZHhMHf-1x7Y/edit?usp=sharing"",""แผน!BD85"")"),0)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IFERROR(__xludf.DUMMYFUNCTION("IMPORTRANGE(""https://docs.google.com/spreadsheets/d/1eHaY18a8A9IcSdp1K8H6x8fbOy06t2VsZHhMHf-1x7Y/edit?usp=sharing"",""แผน!BE85"")"),0)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IFERROR(__xludf.DUMMYFUNCTION("IMPORTRANGE(""https://docs.google.com/spreadsheets/d/1eHaY18a8A9IcSdp1K8H6x8fbOy06t2VsZHhMHf-1x7Y/edit?usp=sharing"",""แผน!BH85"")"),0)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IFERROR(__xludf.DUMMYFUNCTION("IMPORTRANGE(""https://docs.google.com/spreadsheets/d/1-uDff_7J0KD5mKrp0Vvzr7lt3OU09vwQwhkpOPPYv2Y/edit?usp=sharing"",""งบพรบ!DE85"")"),0)</f>
        <v>0</v>
      </c>
      <c r="M271" s="544">
        <f ca="1">IFERROR(__xludf.DUMMYFUNCTION("IMPORTRANGE(""https://docs.google.com/spreadsheets/d/1-uDff_7J0KD5mKrp0Vvzr7lt3OU09vwQwhkpOPPYv2Y/edit?usp=sharing"",""งบพรบ!DJ85"")"),0)</f>
        <v>0</v>
      </c>
      <c r="N271" s="544">
        <f ca="1">IFERROR(__xludf.DUMMYFUNCTION("IMPORTRANGE(""https://docs.google.com/spreadsheets/d/1-uDff_7J0KD5mKrp0Vvzr7lt3OU09vwQwhkpOPPYv2Y/edit?usp=sharing"",""งบพรบ!DL85"")"),0)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IFERROR(__xludf.DUMMYFUNCTION("IMPORTRANGE(""https://docs.google.com/spreadsheets/d/1-uDff_7J0KD5mKrp0Vvzr7lt3OU09vwQwhkpOPPYv2Y/edit?usp=sharing"",""งบพรบ!DH85"")"),0)</f>
        <v>0</v>
      </c>
      <c r="M274" s="544">
        <f ca="1">IFERROR(__xludf.DUMMYFUNCTION("IMPORTRANGE(""https://docs.google.com/spreadsheets/d/1-uDff_7J0KD5mKrp0Vvzr7lt3OU09vwQwhkpOPPYv2Y/edit?usp=sharing"",""งบพรบ!DK85"")"),0)</f>
        <v>0</v>
      </c>
      <c r="N274" s="544">
        <f ca="1">IFERROR(__xludf.DUMMYFUNCTION("IMPORTRANGE(""https://docs.google.com/spreadsheets/d/1-uDff_7J0KD5mKrp0Vvzr7lt3OU09vwQwhkpOPPYv2Y/edit?usp=sharing"",""งบพรบ!DM85"")"),0)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IFERROR(__xludf.DUMMYFUNCTION("IMPORTRANGE(""https://docs.google.com/spreadsheets/d/1-uDff_7J0KD5mKrp0Vvzr7lt3OU09vwQwhkpOPPYv2Y/edit?usp=sharing"",""งบพรบ!DO85"")"),0)</f>
        <v>0</v>
      </c>
      <c r="M287" s="425">
        <f ca="1">IFERROR(__xludf.DUMMYFUNCTION("IMPORTRANGE(""https://docs.google.com/spreadsheets/d/1-uDff_7J0KD5mKrp0Vvzr7lt3OU09vwQwhkpOPPYv2Y/edit?usp=sharing"",""งบพรบ!DT85"")"),0)</f>
        <v>0</v>
      </c>
      <c r="N287" s="425">
        <f ca="1">IFERROR(__xludf.DUMMYFUNCTION("IMPORTRANGE(""https://docs.google.com/spreadsheets/d/1-uDff_7J0KD5mKrp0Vvzr7lt3OU09vwQwhkpOPPYv2Y/edit?usp=sharing"",""งบพรบ!DV85"")"),0)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IFERROR(__xludf.DUMMYFUNCTION("IMPORTRANGE(""https://docs.google.com/spreadsheets/d/1-uDff_7J0KD5mKrp0Vvzr7lt3OU09vwQwhkpOPPYv2Y/edit?usp=sharing"",""งบพรบ!DR85"")"),0)</f>
        <v>0</v>
      </c>
      <c r="M290" s="425">
        <f ca="1">IFERROR(__xludf.DUMMYFUNCTION("IMPORTRANGE(""https://docs.google.com/spreadsheets/d/1-uDff_7J0KD5mKrp0Vvzr7lt3OU09vwQwhkpOPPYv2Y/edit?usp=sharing"",""งบพรบ!DU85"")"),0)</f>
        <v>0</v>
      </c>
      <c r="N290" s="425">
        <f ca="1">IFERROR(__xludf.DUMMYFUNCTION("IMPORTRANGE(""https://docs.google.com/spreadsheets/d/1-uDff_7J0KD5mKrp0Vvzr7lt3OU09vwQwhkpOPPYv2Y/edit?usp=sharing"",""งบพรบ!DW85"")"),0)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IFERROR(__xludf.DUMMYFUNCTION("IMPORTRANGE(""https://docs.google.com/spreadsheets/d/1eHaY18a8A9IcSdp1K8H6x8fbOy06t2VsZHhMHf-1x7Y/edit?usp=sharing"",""แผน!EE85"")"),0)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IFERROR(__xludf.DUMMYFUNCTION("IMPORTRANGE(""https://docs.google.com/spreadsheets/d/1eHaY18a8A9IcSdp1K8H6x8fbOy06t2VsZHhMHf-1x7Y/edit?usp=sharing"",""แผน!ED85"")"),0)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IFERROR(__xludf.DUMMYFUNCTION("IMPORTRANGE(""https://docs.google.com/spreadsheets/d/1eHaY18a8A9IcSdp1K8H6x8fbOy06t2VsZHhMHf-1x7Y/edit?usp=sharing"",""แผน!ED85"")"),0)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IFERROR(__xludf.DUMMYFUNCTION("IMPORTRANGE(""https://docs.google.com/spreadsheets/d/1eHaY18a8A9IcSdp1K8H6x8fbOy06t2VsZHhMHf-1x7Y/edit?usp=sharing"",""แผน!ED85"")"),0)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IFERROR(__xludf.DUMMYFUNCTION("IMPORTRANGE(""https://docs.google.com/spreadsheets/d/1-uDff_7J0KD5mKrp0Vvzr7lt3OU09vwQwhkpOPPYv2Y/edit?usp=sharing"",""งบพรบ!DY85"")"),0)</f>
        <v>0</v>
      </c>
      <c r="M308" s="425">
        <f ca="1">IFERROR(__xludf.DUMMYFUNCTION("IMPORTRANGE(""https://docs.google.com/spreadsheets/d/1-uDff_7J0KD5mKrp0Vvzr7lt3OU09vwQwhkpOPPYv2Y/edit?usp=sharing"",""งบพรบ!ED85"")"),0)</f>
        <v>0</v>
      </c>
      <c r="N308" s="425">
        <f ca="1">IFERROR(__xludf.DUMMYFUNCTION("IMPORTRANGE(""https://docs.google.com/spreadsheets/d/1-uDff_7J0KD5mKrp0Vvzr7lt3OU09vwQwhkpOPPYv2Y/edit?usp=sharing"",""งบพรบ!EF85"")"),0)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IFERROR(__xludf.DUMMYFUNCTION("IMPORTRANGE(""https://docs.google.com/spreadsheets/d/1-uDff_7J0KD5mKrp0Vvzr7lt3OU09vwQwhkpOPPYv2Y/edit?usp=sharing"",""งบพรบ!EB85"")"),0)</f>
        <v>0</v>
      </c>
      <c r="M311" s="425">
        <f ca="1">IFERROR(__xludf.DUMMYFUNCTION("IMPORTRANGE(""https://docs.google.com/spreadsheets/d/1-uDff_7J0KD5mKrp0Vvzr7lt3OU09vwQwhkpOPPYv2Y/edit?usp=sharing"",""งบพรบ!EE85"")"),0)</f>
        <v>0</v>
      </c>
      <c r="N311" s="425">
        <f ca="1">IFERROR(__xludf.DUMMYFUNCTION("IMPORTRANGE(""https://docs.google.com/spreadsheets/d/1-uDff_7J0KD5mKrp0Vvzr7lt3OU09vwQwhkpOPPYv2Y/edit?usp=sharing"",""งบพรบ!EG85"")"),0)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IFERROR(__xludf.DUMMYFUNCTION("IMPORTRANGE(""https://docs.google.com/spreadsheets/d/1eHaY18a8A9IcSdp1K8H6x8fbOy06t2VsZHhMHf-1x7Y/edit?usp=sharing"",""แผน!EF85"")"),0)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IFERROR(__xludf.DUMMYFUNCTION("IMPORTRANGE(""https://docs.google.com/spreadsheets/d/1eHaY18a8A9IcSdp1K8H6x8fbOy06t2VsZHhMHf-1x7Y/edit?usp=sharing"",""แผน!EG85"")"),0)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IFERROR(__xludf.DUMMYFUNCTION("IMPORTRANGE(""https://docs.google.com/spreadsheets/d/1eHaY18a8A9IcSdp1K8H6x8fbOy06t2VsZHhMHf-1x7Y/edit?usp=sharing"",""แผน!EH85"")"),0)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IFERROR(__xludf.DUMMYFUNCTION("IMPORTRANGE(""https://docs.google.com/spreadsheets/d/1eHaY18a8A9IcSdp1K8H6x8fbOy06t2VsZHhMHf-1x7Y/edit?usp=sharing"",""แผน!EI85"")"),0)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IFERROR(__xludf.DUMMYFUNCTION("IMPORTRANGE(""https://docs.google.com/spreadsheets/d/1-uDff_7J0KD5mKrp0Vvzr7lt3OU09vwQwhkpOPPYv2Y/edit?usp=sharing"",""งบพรบ!EI85"")"),0)</f>
        <v>0</v>
      </c>
      <c r="M325" s="425">
        <f ca="1">IFERROR(__xludf.DUMMYFUNCTION("IMPORTRANGE(""https://docs.google.com/spreadsheets/d/1-uDff_7J0KD5mKrp0Vvzr7lt3OU09vwQwhkpOPPYv2Y/edit?usp=sharing"",""งบพรบ!EN85"")"),0)</f>
        <v>0</v>
      </c>
      <c r="N325" s="425">
        <f ca="1">IFERROR(__xludf.DUMMYFUNCTION("IMPORTRANGE(""https://docs.google.com/spreadsheets/d/1-uDff_7J0KD5mKrp0Vvzr7lt3OU09vwQwhkpOPPYv2Y/edit?usp=sharing"",""งบพรบ!EP85"")"),0)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IFERROR(__xludf.DUMMYFUNCTION("IMPORTRANGE(""https://docs.google.com/spreadsheets/d/1-uDff_7J0KD5mKrp0Vvzr7lt3OU09vwQwhkpOPPYv2Y/edit?usp=sharing"",""งบพรบ!EL85"")"),0)</f>
        <v>0</v>
      </c>
      <c r="M328" s="425">
        <f ca="1">IFERROR(__xludf.DUMMYFUNCTION("IMPORTRANGE(""https://docs.google.com/spreadsheets/d/1-uDff_7J0KD5mKrp0Vvzr7lt3OU09vwQwhkpOPPYv2Y/edit?usp=sharing"",""งบพรบ!EO85"")"),0)</f>
        <v>0</v>
      </c>
      <c r="N328" s="425">
        <f ca="1">IFERROR(__xludf.DUMMYFUNCTION("IMPORTRANGE(""https://docs.google.com/spreadsheets/d/1-uDff_7J0KD5mKrp0Vvzr7lt3OU09vwQwhkpOPPYv2Y/edit?usp=sharing"",""งบพรบ!EQ85"")"),0)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IFERROR(__xludf.DUMMYFUNCTION("IMPORTRANGE(""https://docs.google.com/spreadsheets/d/1eHaY18a8A9IcSdp1K8H6x8fbOy06t2VsZHhMHf-1x7Y/edit?usp=sharing"",""แผน!EJ85"")"),0)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340</v>
      </c>
      <c r="J332" s="402">
        <f ca="1">J344+J347+J348+J349+J353</f>
        <v>1017</v>
      </c>
      <c r="K332" s="403">
        <f ca="1">IF(I332&gt;0,J332*100/I332,0)</f>
        <v>299.11764705882354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101000</v>
      </c>
      <c r="M333" s="550">
        <f ca="1">M334+M335</f>
        <v>81350</v>
      </c>
      <c r="N333" s="550">
        <f ca="1">N334+N335</f>
        <v>34780</v>
      </c>
      <c r="O333" s="550">
        <f ca="1">IF(L333&gt;0,N333*100/L333,0)</f>
        <v>34.435643564356432</v>
      </c>
      <c r="P333" s="550">
        <f ca="1">IF(M333&gt;0,N333*100/M333,0)</f>
        <v>42.753534111862322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101000</v>
      </c>
      <c r="M335" s="425">
        <f ca="1">M338+M341</f>
        <v>81350</v>
      </c>
      <c r="N335" s="425">
        <f ca="1">N338+N341</f>
        <v>34780</v>
      </c>
      <c r="O335" s="425">
        <f ca="1">IF(L335&gt;0,N335*100/L335,0)</f>
        <v>34.435643564356432</v>
      </c>
      <c r="P335" s="425">
        <f ca="1">IF(M335&gt;0,N335*100/M335,0)</f>
        <v>42.753534111862322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101000</v>
      </c>
      <c r="M336" s="425">
        <f ca="1">M337+M338</f>
        <v>81350</v>
      </c>
      <c r="N336" s="425">
        <f ca="1">N337+N338</f>
        <v>34780</v>
      </c>
      <c r="O336" s="425">
        <f ca="1">IF(L336&gt;0,N336*100/L336,0)</f>
        <v>34.435643564356432</v>
      </c>
      <c r="P336" s="425">
        <f ca="1">IF(M336&gt;0,N336*100/M336,0)</f>
        <v>42.753534111862322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IFERROR(__xludf.DUMMYFUNCTION("IMPORTRANGE(""https://docs.google.com/spreadsheets/d/1-uDff_7J0KD5mKrp0Vvzr7lt3OU09vwQwhkpOPPYv2Y/edit?usp=sharing"",""งบพรบ!ES85"")"),101000)</f>
        <v>101000</v>
      </c>
      <c r="M338" s="425">
        <f ca="1">IFERROR(__xludf.DUMMYFUNCTION("IMPORTRANGE(""https://docs.google.com/spreadsheets/d/1-uDff_7J0KD5mKrp0Vvzr7lt3OU09vwQwhkpOPPYv2Y/edit?usp=sharing"",""งบพรบ!EX85"")"),81350)</f>
        <v>81350</v>
      </c>
      <c r="N338" s="425">
        <f ca="1">IFERROR(__xludf.DUMMYFUNCTION("IMPORTRANGE(""https://docs.google.com/spreadsheets/d/1-uDff_7J0KD5mKrp0Vvzr7lt3OU09vwQwhkpOPPYv2Y/edit?usp=sharing"",""งบพรบ!EZ85"")"),34780)</f>
        <v>34780</v>
      </c>
      <c r="O338" s="425">
        <f ca="1">IF(L338&gt;0,N338*100/L338,0)</f>
        <v>34.435643564356432</v>
      </c>
      <c r="P338" s="425">
        <f ca="1">IF(M338&gt;0,N338*100/M338,0)</f>
        <v>42.753534111862322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IFERROR(__xludf.DUMMYFUNCTION("IMPORTRANGE(""https://docs.google.com/spreadsheets/d/1-uDff_7J0KD5mKrp0Vvzr7lt3OU09vwQwhkpOPPYv2Y/edit?usp=sharing"",""งบพรบ!EV85"")"),0)</f>
        <v>0</v>
      </c>
      <c r="M341" s="425">
        <f ca="1">IFERROR(__xludf.DUMMYFUNCTION("IMPORTRANGE(""https://docs.google.com/spreadsheets/d/1-uDff_7J0KD5mKrp0Vvzr7lt3OU09vwQwhkpOPPYv2Y/edit?usp=sharing"",""งบพรบ!EY85"")"),0)</f>
        <v>0</v>
      </c>
      <c r="N341" s="425">
        <f ca="1">IFERROR(__xludf.DUMMYFUNCTION("IMPORTRANGE(""https://docs.google.com/spreadsheets/d/1-uDff_7J0KD5mKrp0Vvzr7lt3OU09vwQwhkpOPPYv2Y/edit?usp=sharing"",""งบพรบ!FA85"")"),0)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36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IFERROR(__xludf.DUMMYFUNCTION("IMPORTRANGE(""https://docs.google.com/spreadsheets/d/1eHaY18a8A9IcSdp1K8H6x8fbOy06t2VsZHhMHf-1x7Y/edit?usp=sharing"",""แผน!EK85"")"),340)</f>
        <v>340</v>
      </c>
      <c r="J344" s="424">
        <f ca="1">IFERROR(__xludf.DUMMYFUNCTION("IMPORTRANGE(""https://docs.google.com/spreadsheets/d/1awYsYK3VOup2i3Pq_Yjnu8DRu_mYwSBnCR2QPthd0rU/edit?usp=sharing"",""ศูนย์ยกเว้นโฉนด!D85"")"),36)</f>
        <v>36</v>
      </c>
      <c r="K344" s="425">
        <f ca="1">IF(I344&gt;0,J344*100/I344,0)</f>
        <v>10.588235294117647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IFERROR(__xludf.DUMMYFUNCTION("IMPORTRANGE(""https://docs.google.com/spreadsheets/d/1eHaY18a8A9IcSdp1K8H6x8fbOy06t2VsZHhMHf-1x7Y/edit?usp=sharing"",""แผน!EL85"")"),2)</f>
        <v>2</v>
      </c>
      <c r="J346" s="424">
        <f ca="1">IFERROR(__xludf.DUMMYFUNCTION("IMPORTRANGE(""https://docs.google.com/spreadsheets/d/1awYsYK3VOup2i3Pq_Yjnu8DRu_mYwSBnCR2QPthd0rU/edit?usp=sharing"",""ศูนย์รวม!E85"")"),1)</f>
        <v>1</v>
      </c>
      <c r="K346" s="425">
        <f ca="1">IF(I346&gt;0,J346*100/I346,0)</f>
        <v>50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IFERROR(__xludf.DUMMYFUNCTION("IMPORTRANGE(""https://docs.google.com/spreadsheets/d/1awYsYK3VOup2i3Pq_Yjnu8DRu_mYwSBnCR2QPthd0rU/edit?usp=sharing"",""ศูนย์ยกเว้นโฉนด!F85"")"),0)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IFERROR(__xludf.DUMMYFUNCTION("IMPORTRANGE(""https://docs.google.com/spreadsheets/d/1awYsYK3VOup2i3Pq_Yjnu8DRu_mYwSBnCR2QPthd0rU/edit?usp=sharing"",""ศูนย์ยกเว้นโฉนด!G85"")"),0)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IFERROR(__xludf.DUMMYFUNCTION("IMPORTRANGE(""https://docs.google.com/spreadsheets/d/1awYsYK3VOup2i3Pq_Yjnu8DRu_mYwSBnCR2QPthd0rU/edit?usp=sharing"",""ศูนย์ยกเว้นโฉนด!H85"")"),0)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1164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IFERROR(__xludf.DUMMYFUNCTION("IMPORTRANGE(""https://docs.google.com/spreadsheets/d/1awYsYK3VOup2i3Pq_Yjnu8DRu_mYwSBnCR2QPthd0rU/edit?usp=sharing"",""โฉนดM3!G85"")"),183)</f>
        <v>183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IFERROR(__xludf.DUMMYFUNCTION("IMPORTRANGE(""https://docs.google.com/spreadsheets/d/1awYsYK3VOup2i3Pq_Yjnu8DRu_mYwSBnCR2QPthd0rU/edit?usp=sharing"",""โฉนดM3!H85"")"),981)</f>
        <v>981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341160</v>
      </c>
      <c r="M356" s="550">
        <f ca="1">M357+M358</f>
        <v>262560</v>
      </c>
      <c r="N356" s="550">
        <f ca="1">N357+N358</f>
        <v>44456.67</v>
      </c>
      <c r="O356" s="550">
        <f ca="1">IF(L356&gt;0,N356*100/L356,0)</f>
        <v>13.031032360182905</v>
      </c>
      <c r="P356" s="550">
        <f ca="1">IF(M356&gt;0,N356*100/M356,0)</f>
        <v>16.932004113345521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341160</v>
      </c>
      <c r="M358" s="425">
        <f ca="1">M361+M364</f>
        <v>262560</v>
      </c>
      <c r="N358" s="425">
        <f ca="1">N361+N364</f>
        <v>44456.67</v>
      </c>
      <c r="O358" s="425">
        <f ca="1">IF(L358&gt;0,N358*100/L358,0)</f>
        <v>13.031032360182905</v>
      </c>
      <c r="P358" s="425">
        <f ca="1">IF(M358&gt;0,N358*100/M358,0)</f>
        <v>16.932004113345521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341160</v>
      </c>
      <c r="M359" s="425">
        <f ca="1">M360+M361</f>
        <v>262560</v>
      </c>
      <c r="N359" s="425">
        <f ca="1">N360+N361</f>
        <v>44456.67</v>
      </c>
      <c r="O359" s="425">
        <f ca="1">IF(L359&gt;0,N359*100/L359,0)</f>
        <v>13.031032360182905</v>
      </c>
      <c r="P359" s="425">
        <f ca="1">IF(M359&gt;0,N359*100/M359,0)</f>
        <v>16.932004113345521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IFERROR(__xludf.DUMMYFUNCTION("IMPORTRANGE(""https://docs.google.com/spreadsheets/d/1-uDff_7J0KD5mKrp0Vvzr7lt3OU09vwQwhkpOPPYv2Y/edit?usp=sharing"",""งบพรบ!FC85"")"),341160)</f>
        <v>341160</v>
      </c>
      <c r="M361" s="425">
        <f ca="1">IFERROR(__xludf.DUMMYFUNCTION("IMPORTRANGE(""https://docs.google.com/spreadsheets/d/1-uDff_7J0KD5mKrp0Vvzr7lt3OU09vwQwhkpOPPYv2Y/edit?usp=sharing"",""งบพรบ!FH85"")"),262560)</f>
        <v>262560</v>
      </c>
      <c r="N361" s="425">
        <f ca="1">IFERROR(__xludf.DUMMYFUNCTION("IMPORTRANGE(""https://docs.google.com/spreadsheets/d/1-uDff_7J0KD5mKrp0Vvzr7lt3OU09vwQwhkpOPPYv2Y/edit?usp=sharing"",""งบพรบ!FJ85"")"),44456.67)</f>
        <v>44456.67</v>
      </c>
      <c r="O361" s="425">
        <f ca="1">IF(L361&gt;0,N361*100/L361,0)</f>
        <v>13.031032360182905</v>
      </c>
      <c r="P361" s="425">
        <f ca="1">IF(M361&gt;0,N361*100/M361,0)</f>
        <v>16.932004113345521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IFERROR(__xludf.DUMMYFUNCTION("IMPORTRANGE(""https://docs.google.com/spreadsheets/d/1-uDff_7J0KD5mKrp0Vvzr7lt3OU09vwQwhkpOPPYv2Y/edit?usp=sharing"",""งบพรบ!FF85"")"),0)</f>
        <v>0</v>
      </c>
      <c r="M364" s="425">
        <f ca="1">IFERROR(__xludf.DUMMYFUNCTION("IMPORTRANGE(""https://docs.google.com/spreadsheets/d/1-uDff_7J0KD5mKrp0Vvzr7lt3OU09vwQwhkpOPPYv2Y/edit?usp=sharing"",""งบพรบ!FI85"")"),0)</f>
        <v>0</v>
      </c>
      <c r="N364" s="425">
        <f ca="1">IFERROR(__xludf.DUMMYFUNCTION("IMPORTRANGE(""https://docs.google.com/spreadsheets/d/1-uDff_7J0KD5mKrp0Vvzr7lt3OU09vwQwhkpOPPYv2Y/edit?usp=sharing"",""งบพรบ!FK85"")"),0)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34</v>
      </c>
      <c r="J365" s="438">
        <f ca="1">J371</f>
        <v>25</v>
      </c>
      <c r="K365" s="439">
        <f ca="1">IF(I365&gt;0,J365*100/I365,0)</f>
        <v>73.529411764705884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IFERROR(__xludf.DUMMYFUNCTION("IMPORTRANGE(""https://docs.google.com/spreadsheets/d/1tdoBKaGub7dwA3U6UFTqxio9LNnvDCQjHKmttSEBsFQ/edit?usp=sharing"",""จัดที่ดิน!AB85"")"),9)</f>
        <v>9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IFERROR(__xludf.DUMMYFUNCTION("IMPORTRANGE(""https://docs.google.com/spreadsheets/d/1eHaY18a8A9IcSdp1K8H6x8fbOy06t2VsZHhMHf-1x7Y/edit?usp=sharing"",""แผน!EW85"")"),355)</f>
        <v>355</v>
      </c>
      <c r="J368" s="528">
        <f ca="1">IFERROR(__xludf.DUMMYFUNCTION("IMPORTRANGE(""https://docs.google.com/spreadsheets/d/1tdoBKaGub7dwA3U6UFTqxio9LNnvDCQjHKmttSEBsFQ/edit?usp=sharing"",""จัดที่ดิน!AC85"")"),52.56)</f>
        <v>52.56</v>
      </c>
      <c r="K368" s="425">
        <f ca="1">IF(I368&gt;0,J368*100/I368,0)</f>
        <v>14.805633802816901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IFERROR(__xludf.DUMMYFUNCTION("IMPORTRANGE(""https://docs.google.com/spreadsheets/d/1eHaY18a8A9IcSdp1K8H6x8fbOy06t2VsZHhMHf-1x7Y/edit?usp=sharing"",""แผน!EX85"")"),53)</f>
        <v>53</v>
      </c>
      <c r="J369" s="424">
        <f ca="1">IFERROR(__xludf.DUMMYFUNCTION("IMPORTRANGE(""https://docs.google.com/spreadsheets/d/1tdoBKaGub7dwA3U6UFTqxio9LNnvDCQjHKmttSEBsFQ/edit?usp=sharing"",""จัดที่ดิน!AD85"")"),25)</f>
        <v>25</v>
      </c>
      <c r="K369" s="425">
        <f ca="1">IF(I369&gt;0,J369*100/I369,0)</f>
        <v>47.169811320754718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IFERROR(__xludf.DUMMYFUNCTION("IMPORTRANGE(""https://docs.google.com/spreadsheets/d/1tdoBKaGub7dwA3U6UFTqxio9LNnvDCQjHKmttSEBsFQ/edit?usp=sharing"",""จัดที่ดิน!AE85"")"),392.69)</f>
        <v>392.69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IFERROR(__xludf.DUMMYFUNCTION("IMPORTRANGE(""https://docs.google.com/spreadsheets/d/1eHaY18a8A9IcSdp1K8H6x8fbOy06t2VsZHhMHf-1x7Y/edit?usp=sharing"",""แผน!EY85"")"),34)</f>
        <v>34</v>
      </c>
      <c r="J371" s="424">
        <f ca="1">IFERROR(__xludf.DUMMYFUNCTION("IMPORTRANGE(""https://docs.google.com/spreadsheets/d/1tdoBKaGub7dwA3U6UFTqxio9LNnvDCQjHKmttSEBsFQ/edit?usp=sharing"",""จัดที่ดิน!AF85"")"),25)</f>
        <v>25</v>
      </c>
      <c r="K371" s="425">
        <f ca="1">IF(I371&gt;0,J371*100/I371,0)</f>
        <v>73.529411764705884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IFERROR(__xludf.DUMMYFUNCTION("IMPORTRANGE(""https://docs.google.com/spreadsheets/d/1tdoBKaGub7dwA3U6UFTqxio9LNnvDCQjHKmttSEBsFQ/edit?usp=sharing"",""จัดที่ดิน!AG85"")"),392.69)</f>
        <v>392.69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IFERROR(__xludf.DUMMYFUNCTION("IMPORTRANGE(""https://docs.google.com/spreadsheets/d/1-uDff_7J0KD5mKrp0Vvzr7lt3OU09vwQwhkpOPPYv2Y/edit?usp=sharing"",""งบพรบ!FM85"")"),0)</f>
        <v>0</v>
      </c>
      <c r="M382" s="544">
        <f ca="1">IFERROR(__xludf.DUMMYFUNCTION("IMPORTRANGE(""https://docs.google.com/spreadsheets/d/1-uDff_7J0KD5mKrp0Vvzr7lt3OU09vwQwhkpOPPYv2Y/edit?usp=sharing"",""งบพรบ!FR85"")"),0)</f>
        <v>0</v>
      </c>
      <c r="N382" s="544">
        <f ca="1">IFERROR(__xludf.DUMMYFUNCTION("IMPORTRANGE(""https://docs.google.com/spreadsheets/d/1-uDff_7J0KD5mKrp0Vvzr7lt3OU09vwQwhkpOPPYv2Y/edit?usp=sharing"",""งบพรบ!FT85"")"),0)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IFERROR(__xludf.DUMMYFUNCTION("IMPORTRANGE(""https://docs.google.com/spreadsheets/d/1-uDff_7J0KD5mKrp0Vvzr7lt3OU09vwQwhkpOPPYv2Y/edit?usp=sharing"",""งบพรบ!FP85"")"),0)</f>
        <v>0</v>
      </c>
      <c r="M385" s="544">
        <f ca="1">IFERROR(__xludf.DUMMYFUNCTION("IMPORTRANGE(""https://docs.google.com/spreadsheets/d/1-uDff_7J0KD5mKrp0Vvzr7lt3OU09vwQwhkpOPPYv2Y/edit?usp=sharing"",""งบพรบ!FS85"")"),0)</f>
        <v>0</v>
      </c>
      <c r="N385" s="544">
        <f ca="1">IFERROR(__xludf.DUMMYFUNCTION("IMPORTRANGE(""https://docs.google.com/spreadsheets/d/1-uDff_7J0KD5mKrp0Vvzr7lt3OU09vwQwhkpOPPYv2Y/edit?usp=sharing"",""งบพรบ!FU85"")"),0)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87D7-6C3C-4B96-96DD-862B2C65F030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172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1899835</v>
      </c>
      <c r="M18" s="709">
        <f ca="1">M19+M20</f>
        <v>1573935</v>
      </c>
      <c r="N18" s="709">
        <f ca="1">N19+N20</f>
        <v>703634.3600000001</v>
      </c>
      <c r="O18" s="709">
        <f ca="1">IF(L18&gt;0,N18*100/L18,0)</f>
        <v>37.036603705058603</v>
      </c>
      <c r="P18" s="709">
        <f ca="1">IF(M18&gt;0,N18*100/M18,0)</f>
        <v>44.705426844183535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1899835</v>
      </c>
      <c r="M20" s="822">
        <f ca="1">M23+M26</f>
        <v>1573935</v>
      </c>
      <c r="N20" s="822">
        <f ca="1">N23+N26</f>
        <v>703634.3600000001</v>
      </c>
      <c r="O20" s="822">
        <f ca="1">IF(L20&gt;0,N20*100/L20,0)</f>
        <v>37.036603705058603</v>
      </c>
      <c r="P20" s="822">
        <f ca="1">IF(M20&gt;0,N20*100/M20,0)</f>
        <v>44.705426844183535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1899835</v>
      </c>
      <c r="M21" s="425">
        <f ca="1">M22+M23</f>
        <v>1573935</v>
      </c>
      <c r="N21" s="425">
        <f ca="1">N22+N23</f>
        <v>703634.3600000001</v>
      </c>
      <c r="O21" s="425">
        <f ca="1">IF(L21&gt;0,N21*100/L21,0)</f>
        <v>37.036603705058603</v>
      </c>
      <c r="P21" s="425">
        <f ca="1">IF(M21&gt;0,N21*100/M21,0)</f>
        <v>44.705426844183535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1899835</v>
      </c>
      <c r="M23" s="425">
        <f ca="1">M49+M64+M77+M99+M130+M144+M162+M191+M178+M271+M287+M308+M325+M338+M361+M382</f>
        <v>1573935</v>
      </c>
      <c r="N23" s="425">
        <f ca="1">N49+N64+N77+N99+N130+N144+N162+N191+N178+N271+N287+N308+N325+N338+N361+N382</f>
        <v>703634.3600000001</v>
      </c>
      <c r="O23" s="425">
        <f ca="1">IF(L23&gt;0,N23*100/L23,0)</f>
        <v>37.036603705058603</v>
      </c>
      <c r="P23" s="425">
        <f ca="1">IF(M23&gt;0,N23*100/M23,0)</f>
        <v>44.705426844183535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1899835</v>
      </c>
      <c r="M40" s="814">
        <f ca="1">M44+M59+M72+M94+M125+M139+M157+M173+M186+M266+M282+M303+M320+M333+M356</f>
        <v>1573935</v>
      </c>
      <c r="N40" s="814">
        <f ca="1">N44+N59+N72+N94+N125+N139+N157+N173+N186+N266+N282+N303+N320+N333+N356</f>
        <v>703634.3600000001</v>
      </c>
      <c r="O40" s="814">
        <f ca="1">IF(L40&gt;0,N40*100/L40,0)</f>
        <v>37.036603705058603</v>
      </c>
      <c r="P40" s="814">
        <f ca="1">IF(M40&gt;0,N40*100/M40,0)</f>
        <v>44.705426844183535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396500</v>
      </c>
      <c r="M44" s="799">
        <f ca="1">M45+M46</f>
        <v>401000</v>
      </c>
      <c r="N44" s="799">
        <f ca="1">N45+N46</f>
        <v>192600</v>
      </c>
      <c r="O44" s="799">
        <f ca="1">IF(L44&gt;0,N44*100/L44,0)</f>
        <v>48.575031525851195</v>
      </c>
      <c r="P44" s="799">
        <f ca="1">IF(M44&gt;0,N44*100/M44,0)</f>
        <v>48.029925187032418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396500</v>
      </c>
      <c r="M46" s="788">
        <f ca="1">M49+M52</f>
        <v>401000</v>
      </c>
      <c r="N46" s="788">
        <f ca="1">N49+N52</f>
        <v>192600</v>
      </c>
      <c r="O46" s="788">
        <f ca="1">IF(L46&gt;0,N46*100/L46,0)</f>
        <v>48.575031525851195</v>
      </c>
      <c r="P46" s="788">
        <f ca="1">IF(M46&gt;0,N46*100/M46,0)</f>
        <v>48.029925187032418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396500</v>
      </c>
      <c r="M47" s="425">
        <f ca="1">M48+M49</f>
        <v>401000</v>
      </c>
      <c r="N47" s="425">
        <f ca="1">N48+N49</f>
        <v>192600</v>
      </c>
      <c r="O47" s="425">
        <f ca="1">IF(L47&gt;0,N47*100/L47,0)</f>
        <v>48.575031525851195</v>
      </c>
      <c r="P47" s="425">
        <f ca="1">IF(M47&gt;0,N47*100/M47,0)</f>
        <v>48.029925187032418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IFERROR(__xludf.DUMMYFUNCTION("IMPORTRANGE(""https://docs.google.com/spreadsheets/d/1-uDff_7J0KD5mKrp0Vvzr7lt3OU09vwQwhkpOPPYv2Y/edit?usp=sharing"",""งบพรบ!P86"")"),396500)</f>
        <v>396500</v>
      </c>
      <c r="M49" s="425">
        <f ca="1">IFERROR(__xludf.DUMMYFUNCTION("IMPORTRANGE(""https://docs.google.com/spreadsheets/d/1-uDff_7J0KD5mKrp0Vvzr7lt3OU09vwQwhkpOPPYv2Y/edit?usp=sharing"",""งบพรบ!V86"")"),401000)</f>
        <v>401000</v>
      </c>
      <c r="N49" s="425">
        <f ca="1">IFERROR(__xludf.DUMMYFUNCTION("IMPORTRANGE(""https://docs.google.com/spreadsheets/d/1-uDff_7J0KD5mKrp0Vvzr7lt3OU09vwQwhkpOPPYv2Y/edit?usp=sharing"",""งบพรบ!Y86"")"),192600)</f>
        <v>192600</v>
      </c>
      <c r="O49" s="425">
        <f ca="1">IF(L49&gt;0,N49*100/L49,0)</f>
        <v>48.575031525851195</v>
      </c>
      <c r="P49" s="425">
        <f ca="1">IF(M49&gt;0,N49*100/M49,0)</f>
        <v>48.029925187032418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IFERROR(__xludf.DUMMYFUNCTION("IMPORTRANGE(""https://docs.google.com/spreadsheets/d/1-uDff_7J0KD5mKrp0Vvzr7lt3OU09vwQwhkpOPPYv2Y/edit?usp=sharing"",""งบพรบ!S86"")"),0)</f>
        <v>0</v>
      </c>
      <c r="M52" s="425">
        <f ca="1">IFERROR(__xludf.DUMMYFUNCTION("IMPORTRANGE(""https://docs.google.com/spreadsheets/d/1-uDff_7J0KD5mKrp0Vvzr7lt3OU09vwQwhkpOPPYv2Y/edit?usp=sharing"",""งบพรบ!W86"")"),0)</f>
        <v>0</v>
      </c>
      <c r="N52" s="425">
        <f ca="1">IFERROR(__xludf.DUMMYFUNCTION("IMPORTRANGE(""https://docs.google.com/spreadsheets/d/1-uDff_7J0KD5mKrp0Vvzr7lt3OU09vwQwhkpOPPYv2Y/edit?usp=sharing"",""งบพรบ!Z86"")"),0)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459600</v>
      </c>
      <c r="M59" s="768">
        <f ca="1">M60+M61</f>
        <v>346850</v>
      </c>
      <c r="N59" s="768">
        <f ca="1">N60+N61</f>
        <v>239983.78</v>
      </c>
      <c r="O59" s="768">
        <f ca="1">IF(L59&gt;0,N59*100/L59,0)</f>
        <v>52.215791993037421</v>
      </c>
      <c r="P59" s="768">
        <f ca="1">IF(M59&gt;0,N59*100/M59,0)</f>
        <v>69.189499783768198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459600</v>
      </c>
      <c r="M61" s="757">
        <f ca="1">M64+M67</f>
        <v>346850</v>
      </c>
      <c r="N61" s="757">
        <f ca="1">N64+N67</f>
        <v>239983.78</v>
      </c>
      <c r="O61" s="757">
        <f ca="1">IF(L61&gt;0,N61*100/L61,0)</f>
        <v>52.215791993037421</v>
      </c>
      <c r="P61" s="757">
        <f ca="1">IF(M61&gt;0,N61*100/M61,0)</f>
        <v>69.189499783768198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459600</v>
      </c>
      <c r="M62" s="425">
        <f ca="1">M63+M64</f>
        <v>346850</v>
      </c>
      <c r="N62" s="425">
        <f ca="1">N63+N64</f>
        <v>239983.78</v>
      </c>
      <c r="O62" s="425">
        <f ca="1">IF(L62&gt;0,N62*100/L62,0)</f>
        <v>52.215791993037421</v>
      </c>
      <c r="P62" s="425">
        <f ca="1">IF(M62&gt;0,N62*100/M62,0)</f>
        <v>69.189499783768198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IFERROR(__xludf.DUMMYFUNCTION("IMPORTRANGE(""https://docs.google.com/spreadsheets/d/1-uDff_7J0KD5mKrp0Vvzr7lt3OU09vwQwhkpOPPYv2Y/edit?usp=sharing"",""งบพรบ!AC86"")"),459600)</f>
        <v>459600</v>
      </c>
      <c r="M64" s="425">
        <f ca="1">IFERROR(__xludf.DUMMYFUNCTION("IMPORTRANGE(""https://docs.google.com/spreadsheets/d/1-uDff_7J0KD5mKrp0Vvzr7lt3OU09vwQwhkpOPPYv2Y/edit?usp=sharing"",""งบพรบ!AH86"")"),346850)</f>
        <v>346850</v>
      </c>
      <c r="N64" s="425">
        <f ca="1">IFERROR(__xludf.DUMMYFUNCTION("IMPORTRANGE(""https://docs.google.com/spreadsheets/d/1-uDff_7J0KD5mKrp0Vvzr7lt3OU09vwQwhkpOPPYv2Y/edit?usp=sharing"",""งบพรบ!AJ86"")"),239983.78)</f>
        <v>239983.78</v>
      </c>
      <c r="O64" s="425">
        <f ca="1">IF(L64&gt;0,N64*100/L64,0)</f>
        <v>52.215791993037421</v>
      </c>
      <c r="P64" s="425">
        <f ca="1">IF(M64&gt;0,N64*100/M64,0)</f>
        <v>69.189499783768198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IFERROR(__xludf.DUMMYFUNCTION("IMPORTRANGE(""https://docs.google.com/spreadsheets/d/1-uDff_7J0KD5mKrp0Vvzr7lt3OU09vwQwhkpOPPYv2Y/edit?usp=sharing"",""งบพรบ!AF86"")"),0)</f>
        <v>0</v>
      </c>
      <c r="M67" s="752">
        <f ca="1">IFERROR(__xludf.DUMMYFUNCTION("IMPORTRANGE(""https://docs.google.com/spreadsheets/d/1-uDff_7J0KD5mKrp0Vvzr7lt3OU09vwQwhkpOPPYv2Y/edit?usp=sharing"",""งบพรบ!AI86"")"),0)</f>
        <v>0</v>
      </c>
      <c r="N67" s="752">
        <f ca="1">IFERROR(__xludf.DUMMYFUNCTION("IMPORTRANGE(""https://docs.google.com/spreadsheets/d/1-uDff_7J0KD5mKrp0Vvzr7lt3OU09vwQwhkpOPPYv2Y/edit?usp=sharing"",""งบพรบ!AK86"")"),0)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IFERROR(__xludf.DUMMYFUNCTION("IMPORTRANGE(""https://docs.google.com/spreadsheets/d/1-uDff_7J0KD5mKrp0Vvzr7lt3OU09vwQwhkpOPPYv2Y/edit?usp=sharing"",""งบพรบ!AM86"")"),0)</f>
        <v>0</v>
      </c>
      <c r="M77" s="425">
        <f ca="1">IFERROR(__xludf.DUMMYFUNCTION("IMPORTRANGE(""https://docs.google.com/spreadsheets/d/1-uDff_7J0KD5mKrp0Vvzr7lt3OU09vwQwhkpOPPYv2Y/edit?usp=sharing"",""งบพรบ!AR86"")"),0)</f>
        <v>0</v>
      </c>
      <c r="N77" s="425">
        <f ca="1">IFERROR(__xludf.DUMMYFUNCTION("IMPORTRANGE(""https://docs.google.com/spreadsheets/d/1-uDff_7J0KD5mKrp0Vvzr7lt3OU09vwQwhkpOPPYv2Y/edit?usp=sharing"",""งบพรบ!AT86"")"),0)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IFERROR(__xludf.DUMMYFUNCTION("IMPORTRANGE(""https://docs.google.com/spreadsheets/d/1-uDff_7J0KD5mKrp0Vvzr7lt3OU09vwQwhkpOPPYv2Y/edit?usp=sharing"",""งบพรบ!AP86"")"),0)</f>
        <v>0</v>
      </c>
      <c r="M80" s="425">
        <f ca="1">IFERROR(__xludf.DUMMYFUNCTION("IMPORTRANGE(""https://docs.google.com/spreadsheets/d/1-uDff_7J0KD5mKrp0Vvzr7lt3OU09vwQwhkpOPPYv2Y/edit?usp=sharing"",""งบพรบ!AS86"")"),0)</f>
        <v>0</v>
      </c>
      <c r="N80" s="425">
        <f ca="1">IFERROR(__xludf.DUMMYFUNCTION("IMPORTRANGE(""https://docs.google.com/spreadsheets/d/1-uDff_7J0KD5mKrp0Vvzr7lt3OU09vwQwhkpOPPYv2Y/edit?usp=sharing"",""งบพรบ!AU86"")"),0)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IFERROR(__xludf.DUMMYFUNCTION("IMPORTRANGE(""https://docs.google.com/spreadsheets/d/1eHaY18a8A9IcSdp1K8H6x8fbOy06t2VsZHhMHf-1x7Y/edit?usp=sharing"",""แผน!H86"")"),0)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IFERROR(__xludf.DUMMYFUNCTION("IMPORTRANGE(""https://docs.google.com/spreadsheets/d/1eHaY18a8A9IcSdp1K8H6x8fbOy06t2VsZHhMHf-1x7Y/edit?usp=sharing"",""แผน!I86"")"),0)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IFERROR(__xludf.DUMMYFUNCTION("IMPORTRANGE(""https://docs.google.com/spreadsheets/d/1eHaY18a8A9IcSdp1K8H6x8fbOy06t2VsZHhMHf-1x7Y/edit?usp=sharing"",""แผน!F86"")"),0)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IFERROR(__xludf.DUMMYFUNCTION("IMPORTRANGE(""https://docs.google.com/spreadsheets/d/1eHaY18a8A9IcSdp1K8H6x8fbOy06t2VsZHhMHf-1x7Y/edit?usp=sharing"",""แผน!G86"")"),0)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IFERROR(__xludf.DUMMYFUNCTION("IMPORTRANGE(""https://docs.google.com/spreadsheets/d/1eHaY18a8A9IcSdp1K8H6x8fbOy06t2VsZHhMHf-1x7Y/edit?usp=sharing"",""แผน!D86"")"),0)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IFERROR(__xludf.DUMMYFUNCTION("IMPORTRANGE(""https://docs.google.com/spreadsheets/d/1eHaY18a8A9IcSdp1K8H6x8fbOy06t2VsZHhMHf-1x7Y/edit?usp=sharing"",""แผน!E86"")"),0)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IFERROR(__xludf.DUMMYFUNCTION("IMPORTRANGE(""https://docs.google.com/spreadsheets/d/1eHaY18a8A9IcSdp1K8H6x8fbOy06t2VsZHhMHf-1x7Y/edit?usp=sharing"",""แผน!J86"")"),0)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IFERROR(__xludf.DUMMYFUNCTION("IMPORTRANGE(""https://docs.google.com/spreadsheets/d/1-uDff_7J0KD5mKrp0Vvzr7lt3OU09vwQwhkpOPPYv2Y/edit?usp=sharing"",""งบพรบ!AW86"")"),0)</f>
        <v>0</v>
      </c>
      <c r="M99" s="425">
        <f ca="1">IFERROR(__xludf.DUMMYFUNCTION("IMPORTRANGE(""https://docs.google.com/spreadsheets/d/1-uDff_7J0KD5mKrp0Vvzr7lt3OU09vwQwhkpOPPYv2Y/edit?usp=sharing"",""งบพรบ!BB86"")"),0)</f>
        <v>0</v>
      </c>
      <c r="N99" s="425">
        <f ca="1">IFERROR(__xludf.DUMMYFUNCTION("IMPORTRANGE(""https://docs.google.com/spreadsheets/d/1-uDff_7J0KD5mKrp0Vvzr7lt3OU09vwQwhkpOPPYv2Y/edit?usp=sharing"",""งบพรบ!BD86"")"),0)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IFERROR(__xludf.DUMMYFUNCTION("IMPORTRANGE(""https://docs.google.com/spreadsheets/d/1-uDff_7J0KD5mKrp0Vvzr7lt3OU09vwQwhkpOPPYv2Y/edit?usp=sharing"",""งบพรบ!AZ86"")"),0)</f>
        <v>0</v>
      </c>
      <c r="M102" s="425">
        <f ca="1">IFERROR(__xludf.DUMMYFUNCTION("IMPORTRANGE(""https://docs.google.com/spreadsheets/d/1-uDff_7J0KD5mKrp0Vvzr7lt3OU09vwQwhkpOPPYv2Y/edit?usp=sharing"",""งบพรบ!BC86"")"),0)</f>
        <v>0</v>
      </c>
      <c r="N102" s="425">
        <f ca="1">IFERROR(__xludf.DUMMYFUNCTION("IMPORTRANGE(""https://docs.google.com/spreadsheets/d/1-uDff_7J0KD5mKrp0Vvzr7lt3OU09vwQwhkpOPPYv2Y/edit?usp=sharing"",""งบพรบ!BE86"")"),0)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IFERROR(__xludf.DUMMYFUNCTION("IMPORTRANGE(""https://docs.google.com/spreadsheets/d/1eHaY18a8A9IcSdp1K8H6x8fbOy06t2VsZHhMHf-1x7Y/edit?usp=sharing"",""แผน!N86"")"),0)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IFERROR(__xludf.DUMMYFUNCTION("IMPORTRANGE(""https://docs.google.com/spreadsheets/d/1eHaY18a8A9IcSdp1K8H6x8fbOy06t2VsZHhMHf-1x7Y/edit?usp=sharing"",""แผน!O86"")"),0)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IFERROR(__xludf.DUMMYFUNCTION("IMPORTRANGE(""https://docs.google.com/spreadsheets/d/1eHaY18a8A9IcSdp1K8H6x8fbOy06t2VsZHhMHf-1x7Y/edit?usp=sharing"",""แผน!R86"")"),0)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IFERROR(__xludf.DUMMYFUNCTION("IMPORTRANGE(""https://docs.google.com/spreadsheets/d/1-uDff_7J0KD5mKrp0Vvzr7lt3OU09vwQwhkpOPPYv2Y/edit?usp=sharing"",""งบพรบ!BG86"")"),0)</f>
        <v>0</v>
      </c>
      <c r="M130" s="728">
        <f ca="1">IFERROR(__xludf.DUMMYFUNCTION("IMPORTRANGE(""https://docs.google.com/spreadsheets/d/1-uDff_7J0KD5mKrp0Vvzr7lt3OU09vwQwhkpOPPYv2Y/edit?usp=sharing"",""งบพรบ!BL86"")"),0)</f>
        <v>0</v>
      </c>
      <c r="N130" s="728">
        <f ca="1">IFERROR(__xludf.DUMMYFUNCTION("IMPORTRANGE(""https://docs.google.com/spreadsheets/d/1-uDff_7J0KD5mKrp0Vvzr7lt3OU09vwQwhkpOPPYv2Y/edit?usp=sharing"",""งบพรบ!BN86"")"),0)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IFERROR(__xludf.DUMMYFUNCTION("IMPORTRANGE(""https://docs.google.com/spreadsheets/d/1-uDff_7J0KD5mKrp0Vvzr7lt3OU09vwQwhkpOPPYv2Y/edit?usp=sharing"",""งบพรบ!BJ86"")"),0)</f>
        <v>0</v>
      </c>
      <c r="M133" s="728">
        <f ca="1">IFERROR(__xludf.DUMMYFUNCTION("IMPORTRANGE(""https://docs.google.com/spreadsheets/d/1-uDff_7J0KD5mKrp0Vvzr7lt3OU09vwQwhkpOPPYv2Y/edit?usp=sharing"",""งบพรบ!BM86"")"),0)</f>
        <v>0</v>
      </c>
      <c r="N133" s="728">
        <f ca="1">IFERROR(__xludf.DUMMYFUNCTION("IMPORTRANGE(""https://docs.google.com/spreadsheets/d/1-uDff_7J0KD5mKrp0Vvzr7lt3OU09vwQwhkpOPPYv2Y/edit?usp=sharing"",""งบพรบ!BO86"")"),0)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10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1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23300</v>
      </c>
      <c r="M139" s="550">
        <f ca="1">M140+M141</f>
        <v>18300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23300</v>
      </c>
      <c r="M141" s="425">
        <f ca="1">M144+M147</f>
        <v>18300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23300</v>
      </c>
      <c r="M142" s="425">
        <f ca="1">M143+M144</f>
        <v>18300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IFERROR(__xludf.DUMMYFUNCTION("IMPORTRANGE(""https://docs.google.com/spreadsheets/d/1-uDff_7J0KD5mKrp0Vvzr7lt3OU09vwQwhkpOPPYv2Y/edit?usp=sharing"",""งบพรบ!BQ86"")"),23300)</f>
        <v>23300</v>
      </c>
      <c r="M144" s="425">
        <f ca="1">IFERROR(__xludf.DUMMYFUNCTION("IMPORTRANGE(""https://docs.google.com/spreadsheets/d/1-uDff_7J0KD5mKrp0Vvzr7lt3OU09vwQwhkpOPPYv2Y/edit?usp=sharing"",""งบพรบ!BV86"")"),18300)</f>
        <v>18300</v>
      </c>
      <c r="N144" s="425">
        <f ca="1">IFERROR(__xludf.DUMMYFUNCTION("IMPORTRANGE(""https://docs.google.com/spreadsheets/d/1-uDff_7J0KD5mKrp0Vvzr7lt3OU09vwQwhkpOPPYv2Y/edit?usp=sharing"",""งบพรบ!BX86"")"),0)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IFERROR(__xludf.DUMMYFUNCTION("IMPORTRANGE(""https://docs.google.com/spreadsheets/d/1-uDff_7J0KD5mKrp0Vvzr7lt3OU09vwQwhkpOPPYv2Y/edit?usp=sharing"",""งบพรบ!BT86"")"),0)</f>
        <v>0</v>
      </c>
      <c r="M147" s="425">
        <f ca="1">IFERROR(__xludf.DUMMYFUNCTION("IMPORTRANGE(""https://docs.google.com/spreadsheets/d/1-uDff_7J0KD5mKrp0Vvzr7lt3OU09vwQwhkpOPPYv2Y/edit?usp=sharing"",""งบพรบ!BW86"")"),0)</f>
        <v>0</v>
      </c>
      <c r="N147" s="425">
        <f ca="1">IFERROR(__xludf.DUMMYFUNCTION("IMPORTRANGE(""https://docs.google.com/spreadsheets/d/1-uDff_7J0KD5mKrp0Vvzr7lt3OU09vwQwhkpOPPYv2Y/edit?usp=sharing"",""งบพรบ!BY86"")"),0)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IFERROR(__xludf.DUMMYFUNCTION("IMPORTRANGE(""https://docs.google.com/spreadsheets/d/1eHaY18a8A9IcSdp1K8H6x8fbOy06t2VsZHhMHf-1x7Y/edit?usp=sharing"",""แผน!U86"")"),0)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IFERROR(__xludf.DUMMYFUNCTION("IMPORTRANGE(""https://docs.google.com/spreadsheets/d/1eHaY18a8A9IcSdp1K8H6x8fbOy06t2VsZHhMHf-1x7Y/edit?usp=sharing"",""แผน!V86"")"),0)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IFERROR(__xludf.DUMMYFUNCTION("IMPORTRANGE(""https://docs.google.com/spreadsheets/d/1eHaY18a8A9IcSdp1K8H6x8fbOy06t2VsZHhMHf-1x7Y/edit?usp=sharing"",""แผน!W86"")"),10)</f>
        <v>10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IFERROR(__xludf.DUMMYFUNCTION("IMPORTRANGE(""https://docs.google.com/spreadsheets/d/1eHaY18a8A9IcSdp1K8H6x8fbOy06t2VsZHhMHf-1x7Y/edit?usp=sharing"",""แผน!X86"")"),1)</f>
        <v>1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IFERROR(__xludf.DUMMYFUNCTION("IMPORTRANGE(""https://docs.google.com/spreadsheets/d/1eHaY18a8A9IcSdp1K8H6x8fbOy06t2VsZHhMHf-1x7Y/edit?usp=sharing"",""แผน!Y86"")"),0)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IFERROR(__xludf.DUMMYFUNCTION("IMPORTRANGE(""https://docs.google.com/spreadsheets/d/1-uDff_7J0KD5mKrp0Vvzr7lt3OU09vwQwhkpOPPYv2Y/edit?usp=sharing"",""งบพรบ!CA86"")"),0)</f>
        <v>0</v>
      </c>
      <c r="M162" s="425">
        <f ca="1">IFERROR(__xludf.DUMMYFUNCTION("IMPORTRANGE(""https://docs.google.com/spreadsheets/d/1-uDff_7J0KD5mKrp0Vvzr7lt3OU09vwQwhkpOPPYv2Y/edit?usp=sharing"",""งบพรบ!CF86"")"),0)</f>
        <v>0</v>
      </c>
      <c r="N162" s="425">
        <f ca="1">IFERROR(__xludf.DUMMYFUNCTION("IMPORTRANGE(""https://docs.google.com/spreadsheets/d/1-uDff_7J0KD5mKrp0Vvzr7lt3OU09vwQwhkpOPPYv2Y/edit?usp=sharing"",""งบพรบ!CH86"")"),0)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IFERROR(__xludf.DUMMYFUNCTION("IMPORTRANGE(""https://docs.google.com/spreadsheets/d/1-uDff_7J0KD5mKrp0Vvzr7lt3OU09vwQwhkpOPPYv2Y/edit?usp=sharing"",""งบพรบ!CD86"")"),0)</f>
        <v>0</v>
      </c>
      <c r="M165" s="425">
        <f ca="1">IFERROR(__xludf.DUMMYFUNCTION("IMPORTRANGE(""https://docs.google.com/spreadsheets/d/1-uDff_7J0KD5mKrp0Vvzr7lt3OU09vwQwhkpOPPYv2Y/edit?usp=sharing"",""งบพรบ!CG86"")"),0)</f>
        <v>0</v>
      </c>
      <c r="N165" s="425">
        <f ca="1">IFERROR(__xludf.DUMMYFUNCTION("IMPORTRANGE(""https://docs.google.com/spreadsheets/d/1-uDff_7J0KD5mKrp0Vvzr7lt3OU09vwQwhkpOPPYv2Y/edit?usp=sharing"",""งบพรบ!CI86"")"),0)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IFERROR(__xludf.DUMMYFUNCTION("IMPORTRANGE(""https://docs.google.com/spreadsheets/d/1eHaY18a8A9IcSdp1K8H6x8fbOy06t2VsZHhMHf-1x7Y/edit?usp=sharing"",""แผน!Z86"")"),0)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IFERROR(__xludf.DUMMYFUNCTION("IMPORTRANGE(""https://docs.google.com/spreadsheets/d/1eHaY18a8A9IcSdp1K8H6x8fbOy06t2VsZHhMHf-1x7Y/edit?usp=sharing"",""แผน!Z86"")"),0)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IFERROR(__xludf.DUMMYFUNCTION("IMPORTRANGE(""https://docs.google.com/spreadsheets/d/1eHaY18a8A9IcSdp1K8H6x8fbOy06t2VsZHhMHf-1x7Y/edit?usp=sharing"",""แผน!Z86"")"),0)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0</v>
      </c>
      <c r="O173" s="550">
        <f ca="1">IF(L173&gt;0,N173*100/L173,0)</f>
        <v>0</v>
      </c>
      <c r="P173" s="550">
        <f ca="1">IF(M173&gt;0,N173*100/M173,0)</f>
        <v>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0</v>
      </c>
      <c r="O175" s="425">
        <f ca="1">IF(L175&gt;0,N175*100/L175,0)</f>
        <v>0</v>
      </c>
      <c r="P175" s="425">
        <f ca="1">IF(M175&gt;0,N175*100/M175,0)</f>
        <v>0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0</v>
      </c>
      <c r="O176" s="425">
        <f ca="1">IF(L176&gt;0,N176*100/L176,0)</f>
        <v>0</v>
      </c>
      <c r="P176" s="425">
        <f ca="1">IF(M176&gt;0,N176*100/M176,0)</f>
        <v>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IFERROR(__xludf.DUMMYFUNCTION("IMPORTRANGE(""https://docs.google.com/spreadsheets/d/1-uDff_7J0KD5mKrp0Vvzr7lt3OU09vwQwhkpOPPYv2Y/edit?usp=sharing"",""งบพรบ!CK86"")"),19590)</f>
        <v>19590</v>
      </c>
      <c r="M178" s="425">
        <f ca="1">IFERROR(__xludf.DUMMYFUNCTION("IMPORTRANGE(""https://docs.google.com/spreadsheets/d/1-uDff_7J0KD5mKrp0Vvzr7lt3OU09vwQwhkpOPPYv2Y/edit?usp=sharing"",""งบพรบ!CP86"")"),19590)</f>
        <v>19590</v>
      </c>
      <c r="N178" s="425">
        <f ca="1">IFERROR(__xludf.DUMMYFUNCTION("IMPORTRANGE(""https://docs.google.com/spreadsheets/d/1-uDff_7J0KD5mKrp0Vvzr7lt3OU09vwQwhkpOPPYv2Y/edit?usp=sharing"",""งบพรบ!CR86"")"),0)</f>
        <v>0</v>
      </c>
      <c r="O178" s="425">
        <f ca="1">IF(L178&gt;0,N178*100/L178,0)</f>
        <v>0</v>
      </c>
      <c r="P178" s="425">
        <f ca="1">IF(M178&gt;0,N178*100/M178,0)</f>
        <v>0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IFERROR(__xludf.DUMMYFUNCTION("IMPORTRANGE(""https://docs.google.com/spreadsheets/d/1-uDff_7J0KD5mKrp0Vvzr7lt3OU09vwQwhkpOPPYv2Y/edit?usp=sharing"",""งบพรบ!CN86"")"),0)</f>
        <v>0</v>
      </c>
      <c r="M181" s="425">
        <f ca="1">IFERROR(__xludf.DUMMYFUNCTION("IMPORTRANGE(""https://docs.google.com/spreadsheets/d/1-uDff_7J0KD5mKrp0Vvzr7lt3OU09vwQwhkpOPPYv2Y/edit?usp=sharing"",""งบพรบ!CQ86"")"),0)</f>
        <v>0</v>
      </c>
      <c r="N181" s="425">
        <f ca="1">IFERROR(__xludf.DUMMYFUNCTION("IMPORTRANGE(""https://docs.google.com/spreadsheets/d/1-uDff_7J0KD5mKrp0Vvzr7lt3OU09vwQwhkpOPPYv2Y/edit?usp=sharing"",""งบพรบ!CS86"")"),0)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IFERROR(__xludf.DUMMYFUNCTION("IMPORTRANGE(""https://docs.google.com/spreadsheets/d/1eHaY18a8A9IcSdp1K8H6x8fbOy06t2VsZHhMHf-1x7Y/edit?usp=sharing"",""แผน!AA86"")"),7)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267600</v>
      </c>
      <c r="M186" s="550">
        <f ca="1">M187+M188</f>
        <v>185000</v>
      </c>
      <c r="N186" s="550">
        <f ca="1">N187+N188</f>
        <v>38664.58</v>
      </c>
      <c r="O186" s="550">
        <f ca="1">IF(L186&gt;0,N186*100/L186,0)</f>
        <v>14.448647234678624</v>
      </c>
      <c r="P186" s="550">
        <f ca="1">IF(M186&gt;0,N186*100/M186,0)</f>
        <v>20.899772972972972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267600</v>
      </c>
      <c r="M188" s="425">
        <f ca="1">M191+M194</f>
        <v>185000</v>
      </c>
      <c r="N188" s="425">
        <f ca="1">N191+N194</f>
        <v>38664.58</v>
      </c>
      <c r="O188" s="425">
        <f ca="1">IF(L188&gt;0,N188*100/L188,0)</f>
        <v>14.448647234678624</v>
      </c>
      <c r="P188" s="425">
        <f ca="1">IF(M188&gt;0,N188*100/M188,0)</f>
        <v>20.899772972972972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267600</v>
      </c>
      <c r="M189" s="425">
        <f ca="1">M190+M191</f>
        <v>185000</v>
      </c>
      <c r="N189" s="425">
        <f ca="1">N190+N191</f>
        <v>38664.58</v>
      </c>
      <c r="O189" s="425">
        <f ca="1">IF(L189&gt;0,N189*100/L189,0)</f>
        <v>14.448647234678624</v>
      </c>
      <c r="P189" s="425">
        <f ca="1">IF(M189&gt;0,N189*100/M189,0)</f>
        <v>20.899772972972972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IFERROR(__xludf.DUMMYFUNCTION("IMPORTRANGE(""https://docs.google.com/spreadsheets/d/1-uDff_7J0KD5mKrp0Vvzr7lt3OU09vwQwhkpOPPYv2Y/edit?usp=sharing"",""งบพรบ!CU86"")"),267600)</f>
        <v>267600</v>
      </c>
      <c r="M191" s="425">
        <f ca="1">IFERROR(__xludf.DUMMYFUNCTION("IMPORTRANGE(""https://docs.google.com/spreadsheets/d/1-uDff_7J0KD5mKrp0Vvzr7lt3OU09vwQwhkpOPPYv2Y/edit?usp=sharing"",""งบพรบ!CZ86"")"),185000)</f>
        <v>185000</v>
      </c>
      <c r="N191" s="425">
        <f ca="1">IFERROR(__xludf.DUMMYFUNCTION("IMPORTRANGE(""https://docs.google.com/spreadsheets/d/1-uDff_7J0KD5mKrp0Vvzr7lt3OU09vwQwhkpOPPYv2Y/edit?usp=sharing"",""งบพรบ!DB86"")"),38664.58)</f>
        <v>38664.58</v>
      </c>
      <c r="O191" s="425">
        <f ca="1">IF(L191&gt;0,N191*100/L191,0)</f>
        <v>14.448647234678624</v>
      </c>
      <c r="P191" s="425">
        <f ca="1">IF(M191&gt;0,N191*100/M191,0)</f>
        <v>20.899772972972972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IFERROR(__xludf.DUMMYFUNCTION("IMPORTRANGE(""https://docs.google.com/spreadsheets/d/1-uDff_7J0KD5mKrp0Vvzr7lt3OU09vwQwhkpOPPYv2Y/edit?usp=sharing"",""งบพรบ!CX86"")"),0)</f>
        <v>0</v>
      </c>
      <c r="M194" s="425">
        <f ca="1">IFERROR(__xludf.DUMMYFUNCTION("IMPORTRANGE(""https://docs.google.com/spreadsheets/d/1-uDff_7J0KD5mKrp0Vvzr7lt3OU09vwQwhkpOPPYv2Y/edit?usp=sharing"",""งบพรบ!DA86"")"),0)</f>
        <v>0</v>
      </c>
      <c r="N194" s="425">
        <f ca="1">IFERROR(__xludf.DUMMYFUNCTION("IMPORTRANGE(""https://docs.google.com/spreadsheets/d/1-uDff_7J0KD5mKrp0Vvzr7lt3OU09vwQwhkpOPPYv2Y/edit?usp=sharing"",""งบพรบ!DC86"")"),0)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IFERROR(__xludf.DUMMYFUNCTION("IMPORTRANGE(""https://docs.google.com/spreadsheets/d/1eHaY18a8A9IcSdp1K8H6x8fbOy06t2VsZHhMHf-1x7Y/edit?usp=sharing"",""แผน!AB86"")"),6000)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IFERROR(__xludf.DUMMYFUNCTION("IMPORTRANGE(""https://docs.google.com/spreadsheets/d/1eHaY18a8A9IcSdp1K8H6x8fbOy06t2VsZHhMHf-1x7Y/edit?usp=sharing"",""แผน!AE86"")"),4)</f>
        <v>4</v>
      </c>
      <c r="J198" s="568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53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53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5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65000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80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IFERROR(__xludf.DUMMYFUNCTION("IMPORTRANGE(""https://docs.google.com/spreadsheets/d/1eHaY18a8A9IcSdp1K8H6x8fbOy06t2VsZHhMHf-1x7Y/edit?usp=sharing"",""แผน!AG86"")"),5000)</f>
        <v>5000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IFERROR(__xludf.DUMMYFUNCTION("IMPORTRANGE(""https://docs.google.com/spreadsheets/d/1eHaY18a8A9IcSdp1K8H6x8fbOy06t2VsZHhMHf-1x7Y/edit?usp=sharing"",""แผน!AH86"")"),0)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IFERROR(__xludf.DUMMYFUNCTION("IMPORTRANGE(""https://docs.google.com/spreadsheets/d/1eHaY18a8A9IcSdp1K8H6x8fbOy06t2VsZHhMHf-1x7Y/edit?usp=sharing"",""แผน!AI86"")"),40000)</f>
        <v>40000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IFERROR(__xludf.DUMMYFUNCTION("IMPORTRANGE(""https://docs.google.com/spreadsheets/d/1eHaY18a8A9IcSdp1K8H6x8fbOy06t2VsZHhMHf-1x7Y/edit?usp=sharing"",""แผน!AJ86"")"),20000)</f>
        <v>20000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IFERROR(__xludf.DUMMYFUNCTION("IMPORTRANGE(""https://docs.google.com/spreadsheets/d/1eHaY18a8A9IcSdp1K8H6x8fbOy06t2VsZHhMHf-1x7Y/edit?usp=sharing"",""แผน!AK86"")"),5)</f>
        <v>5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IFERROR(__xludf.DUMMYFUNCTION("IMPORTRANGE(""https://docs.google.com/spreadsheets/d/1eHaY18a8A9IcSdp1K8H6x8fbOy06t2VsZHhMHf-1x7Y/edit?usp=sharing"",""แผน!JX86"")"),5)</f>
        <v>5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IFERROR(__xludf.DUMMYFUNCTION("IMPORTRANGE(""https://docs.google.com/spreadsheets/d/1eHaY18a8A9IcSdp1K8H6x8fbOy06t2VsZHhMHf-1x7Y/edit?usp=sharing"",""แผน!JY86"")"),0)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2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28000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IFERROR(__xludf.DUMMYFUNCTION("IMPORTRANGE(""https://docs.google.com/spreadsheets/d/1eHaY18a8A9IcSdp1K8H6x8fbOy06t2VsZHhMHf-1x7Y/edit?usp=sharing"",""แผน!AM86"")"),2000)</f>
        <v>2000</v>
      </c>
      <c r="M215" s="428"/>
      <c r="N215" s="683">
        <v>0</v>
      </c>
      <c r="O215" s="527"/>
      <c r="P215" s="428"/>
    </row>
    <row r="216" spans="1:16" ht="18.75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IFERROR(__xludf.DUMMYFUNCTION("IMPORTRANGE(""https://docs.google.com/spreadsheets/d/1eHaY18a8A9IcSdp1K8H6x8fbOy06t2VsZHhMHf-1x7Y/edit?usp=sharing"",""แผน!AN86"")"),10000)</f>
        <v>10000</v>
      </c>
      <c r="M216" s="428"/>
      <c r="N216" s="683">
        <v>0</v>
      </c>
      <c r="O216" s="527"/>
      <c r="P216" s="428"/>
    </row>
    <row r="217" spans="1:16" ht="18.75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IFERROR(__xludf.DUMMYFUNCTION("IMPORTRANGE(""https://docs.google.com/spreadsheets/d/1eHaY18a8A9IcSdp1K8H6x8fbOy06t2VsZHhMHf-1x7Y/edit?usp=sharing"",""แผน!AO86"")"),16000)</f>
        <v>16000</v>
      </c>
      <c r="M217" s="428"/>
      <c r="N217" s="683">
        <v>0</v>
      </c>
      <c r="O217" s="527"/>
      <c r="P217" s="428"/>
    </row>
    <row r="218" spans="1:16" ht="19.5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IFERROR(__xludf.DUMMYFUNCTION("IMPORTRANGE(""https://docs.google.com/spreadsheets/d/1eHaY18a8A9IcSdp1K8H6x8fbOy06t2VsZHhMHf-1x7Y/edit?usp=sharing"",""แผน!AP86"")"),2)</f>
        <v>2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IFERROR(__xludf.DUMMYFUNCTION("IMPORTRANGE(""https://docs.google.com/spreadsheets/d/1eHaY18a8A9IcSdp1K8H6x8fbOy06t2VsZHhMHf-1x7Y/edit?usp=sharing"",""แผน!AP86"")"),2)</f>
        <v>2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15000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IFERROR(__xludf.DUMMYFUNCTION("IMPORTRANGE(""https://docs.google.com/spreadsheets/d/1eHaY18a8A9IcSdp1K8H6x8fbOy06t2VsZHhMHf-1x7Y/edit?usp=sharing"",""แผน!AR86"")"),3000)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IFERROR(__xludf.DUMMYFUNCTION("IMPORTRANGE(""https://docs.google.com/spreadsheets/d/1eHaY18a8A9IcSdp1K8H6x8fbOy06t2VsZHhMHf-1x7Y/edit?usp=sharing"",""แผน!AS86"")"),1500)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IFERROR(__xludf.DUMMYFUNCTION("IMPORTRANGE(""https://docs.google.com/spreadsheets/d/1eHaY18a8A9IcSdp1K8H6x8fbOy06t2VsZHhMHf-1x7Y/edit?usp=sharing"",""แผน!AT86"")"),0)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IFERROR(__xludf.DUMMYFUNCTION("IMPORTRANGE(""https://docs.google.com/spreadsheets/d/1eHaY18a8A9IcSdp1K8H6x8fbOy06t2VsZHhMHf-1x7Y/edit?usp=sharing"",""แผน!AV86"")"),15000)</f>
        <v>15000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IFERROR(__xludf.DUMMYFUNCTION("IMPORTRANGE(""https://docs.google.com/spreadsheets/d/1eHaY18a8A9IcSdp1K8H6x8fbOy06t2VsZHhMHf-1x7Y/edit?usp=sharing"",""แผน!AV86"")"),15000)</f>
        <v>15000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IFERROR(__xludf.DUMMYFUNCTION("IMPORTRANGE(""https://docs.google.com/spreadsheets/d/1eHaY18a8A9IcSdp1K8H6x8fbOy06t2VsZHhMHf-1x7Y/edit?usp=sharing"",""แผน!AU86"")"),0)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681"/>
      <c r="B231" s="680"/>
      <c r="C231" s="662" t="s">
        <v>99</v>
      </c>
      <c r="D231" s="679"/>
      <c r="E231" s="679"/>
      <c r="F231" s="679"/>
      <c r="G231" s="678"/>
      <c r="H231" s="661" t="s">
        <v>33</v>
      </c>
      <c r="I231" s="660">
        <f ca="1">I242+I253</f>
        <v>0</v>
      </c>
      <c r="J231" s="660">
        <f>J242+J253</f>
        <v>0</v>
      </c>
      <c r="K231" s="659">
        <f ca="1">IF(I231&gt;0,J231*100/I231,0)</f>
        <v>0</v>
      </c>
      <c r="L231" s="677"/>
      <c r="M231" s="677"/>
      <c r="N231" s="677"/>
      <c r="O231" s="677"/>
      <c r="P231" s="677"/>
    </row>
    <row r="232" spans="1:16" ht="19.5" hidden="1" x14ac:dyDescent="0.3">
      <c r="A232" s="676"/>
      <c r="B232" s="673"/>
      <c r="C232" s="636" t="s">
        <v>16</v>
      </c>
      <c r="D232" s="635" t="s">
        <v>17</v>
      </c>
      <c r="E232" s="673"/>
      <c r="F232" s="673"/>
      <c r="G232" s="672"/>
      <c r="H232" s="657" t="s">
        <v>12</v>
      </c>
      <c r="I232" s="669"/>
      <c r="J232" s="669"/>
      <c r="K232" s="668"/>
      <c r="L232" s="633">
        <f ca="1">L243+L254</f>
        <v>0</v>
      </c>
      <c r="M232" s="663"/>
      <c r="N232" s="633">
        <f>N243+N254</f>
        <v>0</v>
      </c>
      <c r="O232" s="663"/>
      <c r="P232" s="663"/>
    </row>
    <row r="233" spans="1:16" ht="18.75" hidden="1" x14ac:dyDescent="0.25">
      <c r="A233" s="676"/>
      <c r="B233" s="674"/>
      <c r="C233" s="673"/>
      <c r="D233" s="546" t="s">
        <v>80</v>
      </c>
      <c r="E233" s="673"/>
      <c r="F233" s="673"/>
      <c r="G233" s="672"/>
      <c r="H233" s="545" t="s">
        <v>12</v>
      </c>
      <c r="I233" s="669"/>
      <c r="J233" s="669"/>
      <c r="K233" s="668"/>
      <c r="L233" s="544">
        <f ca="1">L244+L255</f>
        <v>0</v>
      </c>
      <c r="M233" s="663"/>
      <c r="N233" s="544">
        <f>N244+N255</f>
        <v>0</v>
      </c>
      <c r="O233" s="663"/>
      <c r="P233" s="663"/>
    </row>
    <row r="234" spans="1:16" ht="18.75" hidden="1" x14ac:dyDescent="0.25">
      <c r="A234" s="675"/>
      <c r="B234" s="674"/>
      <c r="C234" s="674"/>
      <c r="D234" s="546" t="s">
        <v>82</v>
      </c>
      <c r="E234" s="673"/>
      <c r="F234" s="673"/>
      <c r="G234" s="672"/>
      <c r="H234" s="545" t="s">
        <v>12</v>
      </c>
      <c r="I234" s="197"/>
      <c r="J234" s="197"/>
      <c r="K234" s="663"/>
      <c r="L234" s="544">
        <f ca="1">L245+L256</f>
        <v>0</v>
      </c>
      <c r="M234" s="663"/>
      <c r="N234" s="544">
        <f>N245+N256</f>
        <v>0</v>
      </c>
      <c r="O234" s="663"/>
      <c r="P234" s="663"/>
    </row>
    <row r="235" spans="1:16" ht="18.75" hidden="1" x14ac:dyDescent="0.25">
      <c r="A235" s="675"/>
      <c r="B235" s="674"/>
      <c r="C235" s="674"/>
      <c r="D235" s="546" t="s">
        <v>100</v>
      </c>
      <c r="E235" s="673"/>
      <c r="F235" s="673"/>
      <c r="G235" s="672"/>
      <c r="H235" s="545" t="s">
        <v>12</v>
      </c>
      <c r="I235" s="197"/>
      <c r="J235" s="197"/>
      <c r="K235" s="663"/>
      <c r="L235" s="544">
        <f ca="1">L246+L257</f>
        <v>0</v>
      </c>
      <c r="M235" s="663"/>
      <c r="N235" s="544">
        <f>N246+N257</f>
        <v>0</v>
      </c>
      <c r="O235" s="663"/>
      <c r="P235" s="663"/>
    </row>
    <row r="236" spans="1:16" ht="18.75" hidden="1" x14ac:dyDescent="0.25">
      <c r="A236" s="675"/>
      <c r="B236" s="674"/>
      <c r="C236" s="674"/>
      <c r="D236" s="546" t="s">
        <v>101</v>
      </c>
      <c r="E236" s="673"/>
      <c r="F236" s="673"/>
      <c r="G236" s="672"/>
      <c r="H236" s="545" t="s">
        <v>12</v>
      </c>
      <c r="I236" s="197"/>
      <c r="J236" s="197"/>
      <c r="K236" s="663"/>
      <c r="L236" s="544">
        <f ca="1">L247+L258</f>
        <v>0</v>
      </c>
      <c r="M236" s="663"/>
      <c r="N236" s="544">
        <f>N247+N258</f>
        <v>0</v>
      </c>
      <c r="O236" s="663"/>
      <c r="P236" s="663"/>
    </row>
    <row r="237" spans="1:16" ht="19.5" hidden="1" x14ac:dyDescent="0.3">
      <c r="A237" s="667"/>
      <c r="B237" s="666"/>
      <c r="C237" s="655" t="s">
        <v>16</v>
      </c>
      <c r="D237" s="630" t="s">
        <v>36</v>
      </c>
      <c r="E237" s="671"/>
      <c r="F237" s="671"/>
      <c r="G237" s="670"/>
      <c r="H237" s="664"/>
      <c r="I237" s="669"/>
      <c r="J237" s="197"/>
      <c r="K237" s="663"/>
      <c r="L237" s="663"/>
      <c r="M237" s="663"/>
      <c r="N237" s="663"/>
      <c r="O237" s="668"/>
      <c r="P237" s="668"/>
    </row>
    <row r="238" spans="1:16" ht="18.75" hidden="1" x14ac:dyDescent="0.25">
      <c r="A238" s="667"/>
      <c r="B238" s="666"/>
      <c r="C238" s="666"/>
      <c r="D238" s="654" t="s">
        <v>102</v>
      </c>
      <c r="E238" s="665"/>
      <c r="F238" s="665"/>
      <c r="G238" s="664"/>
      <c r="H238" s="651" t="s">
        <v>33</v>
      </c>
      <c r="I238" s="199">
        <f ca="1">I249+I260</f>
        <v>0</v>
      </c>
      <c r="J238" s="199">
        <f>J249+J260</f>
        <v>0</v>
      </c>
      <c r="K238" s="544">
        <f ca="1">IF(I238&gt;0,J238*100/I238,0)</f>
        <v>0</v>
      </c>
      <c r="L238" s="663"/>
      <c r="M238" s="663"/>
      <c r="N238" s="663"/>
      <c r="O238" s="663"/>
      <c r="P238" s="663"/>
    </row>
    <row r="239" spans="1:16" ht="18.75" hidden="1" x14ac:dyDescent="0.25">
      <c r="A239" s="667"/>
      <c r="B239" s="666"/>
      <c r="C239" s="666"/>
      <c r="D239" s="653" t="s">
        <v>41</v>
      </c>
      <c r="E239" s="665"/>
      <c r="F239" s="665"/>
      <c r="G239" s="664"/>
      <c r="H239" s="664"/>
      <c r="I239" s="197"/>
      <c r="J239" s="197"/>
      <c r="K239" s="663"/>
      <c r="L239" s="663"/>
      <c r="M239" s="663"/>
      <c r="N239" s="663"/>
      <c r="O239" s="668"/>
      <c r="P239" s="668"/>
    </row>
    <row r="240" spans="1:16" ht="18.75" hidden="1" x14ac:dyDescent="0.25">
      <c r="A240" s="667"/>
      <c r="B240" s="666"/>
      <c r="C240" s="666"/>
      <c r="D240" s="666"/>
      <c r="E240" s="652" t="s">
        <v>103</v>
      </c>
      <c r="F240" s="665"/>
      <c r="G240" s="664"/>
      <c r="H240" s="651" t="s">
        <v>33</v>
      </c>
      <c r="I240" s="199">
        <f>I251+I262</f>
        <v>0</v>
      </c>
      <c r="J240" s="199">
        <f>J251+J262</f>
        <v>0</v>
      </c>
      <c r="K240" s="544">
        <f>IF(I240&gt;0,J240*100/I240,0)</f>
        <v>0</v>
      </c>
      <c r="L240" s="663"/>
      <c r="M240" s="663"/>
      <c r="N240" s="663"/>
      <c r="O240" s="663"/>
      <c r="P240" s="663"/>
    </row>
    <row r="241" spans="1:16" ht="18.75" hidden="1" x14ac:dyDescent="0.25">
      <c r="A241" s="667"/>
      <c r="B241" s="666"/>
      <c r="C241" s="666"/>
      <c r="D241" s="666"/>
      <c r="E241" s="652" t="s">
        <v>104</v>
      </c>
      <c r="F241" s="665"/>
      <c r="G241" s="664"/>
      <c r="H241" s="651" t="s">
        <v>54</v>
      </c>
      <c r="I241" s="199">
        <f>I252+I263</f>
        <v>0</v>
      </c>
      <c r="J241" s="199">
        <f>J252+J263</f>
        <v>0</v>
      </c>
      <c r="K241" s="544">
        <f>IF(I241&gt;0,J241*100/I241,0)</f>
        <v>0</v>
      </c>
      <c r="L241" s="663"/>
      <c r="M241" s="663"/>
      <c r="N241" s="663"/>
      <c r="O241" s="663"/>
      <c r="P241" s="663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IFERROR(__xludf.DUMMYFUNCTION("IMPORTRANGE(""https://docs.google.com/spreadsheets/d/1eHaY18a8A9IcSdp1K8H6x8fbOy06t2VsZHhMHf-1x7Y/edit?usp=sharing"",""แผน!AX86"")"),0)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IFERROR(__xludf.DUMMYFUNCTION("IMPORTRANGE(""https://docs.google.com/spreadsheets/d/1eHaY18a8A9IcSdp1K8H6x8fbOy06t2VsZHhMHf-1x7Y/edit?usp=sharing"",""แผน!AY86"")"),0)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IFERROR(__xludf.DUMMYFUNCTION("IMPORTRANGE(""https://docs.google.com/spreadsheets/d/1eHaY18a8A9IcSdp1K8H6x8fbOy06t2VsZHhMHf-1x7Y/edit?usp=sharing"",""แผน!AZ86"")"),0)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IFERROR(__xludf.DUMMYFUNCTION("IMPORTRANGE(""https://docs.google.com/spreadsheets/d/1eHaY18a8A9IcSdp1K8H6x8fbOy06t2VsZHhMHf-1x7Y/edit?usp=sharing"",""แผน!BA86"")"),0)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IFERROR(__xludf.DUMMYFUNCTION("IMPORTRANGE(""https://docs.google.com/spreadsheets/d/1eHaY18a8A9IcSdp1K8H6x8fbOy06t2VsZHhMHf-1x7Y/edit?usp=sharing"",""แผน!BG86"")"),0)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IFERROR(__xludf.DUMMYFUNCTION("IMPORTRANGE(""https://docs.google.com/spreadsheets/d/1eHaY18a8A9IcSdp1K8H6x8fbOy06t2VsZHhMHf-1x7Y/edit?usp=sharing"",""แผน!BB86"")"),0)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IFERROR(__xludf.DUMMYFUNCTION("IMPORTRANGE(""https://docs.google.com/spreadsheets/d/1eHaY18a8A9IcSdp1K8H6x8fbOy06t2VsZHhMHf-1x7Y/edit?usp=sharing"",""แผน!BC86"")"),0)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IFERROR(__xludf.DUMMYFUNCTION("IMPORTRANGE(""https://docs.google.com/spreadsheets/d/1eHaY18a8A9IcSdp1K8H6x8fbOy06t2VsZHhMHf-1x7Y/edit?usp=sharing"",""แผน!BD86"")"),0)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IFERROR(__xludf.DUMMYFUNCTION("IMPORTRANGE(""https://docs.google.com/spreadsheets/d/1eHaY18a8A9IcSdp1K8H6x8fbOy06t2VsZHhMHf-1x7Y/edit?usp=sharing"",""แผน!BE86"")"),0)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IFERROR(__xludf.DUMMYFUNCTION("IMPORTRANGE(""https://docs.google.com/spreadsheets/d/1eHaY18a8A9IcSdp1K8H6x8fbOy06t2VsZHhMHf-1x7Y/edit?usp=sharing"",""แผน!BH86"")"),0)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IFERROR(__xludf.DUMMYFUNCTION("IMPORTRANGE(""https://docs.google.com/spreadsheets/d/1-uDff_7J0KD5mKrp0Vvzr7lt3OU09vwQwhkpOPPYv2Y/edit?usp=sharing"",""งบพรบ!DE86"")"),0)</f>
        <v>0</v>
      </c>
      <c r="M271" s="544">
        <f ca="1">IFERROR(__xludf.DUMMYFUNCTION("IMPORTRANGE(""https://docs.google.com/spreadsheets/d/1-uDff_7J0KD5mKrp0Vvzr7lt3OU09vwQwhkpOPPYv2Y/edit?usp=sharing"",""งบพรบ!DJ86"")"),0)</f>
        <v>0</v>
      </c>
      <c r="N271" s="544">
        <f ca="1">IFERROR(__xludf.DUMMYFUNCTION("IMPORTRANGE(""https://docs.google.com/spreadsheets/d/1-uDff_7J0KD5mKrp0Vvzr7lt3OU09vwQwhkpOPPYv2Y/edit?usp=sharing"",""งบพรบ!DL86"")"),0)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IFERROR(__xludf.DUMMYFUNCTION("IMPORTRANGE(""https://docs.google.com/spreadsheets/d/1-uDff_7J0KD5mKrp0Vvzr7lt3OU09vwQwhkpOPPYv2Y/edit?usp=sharing"",""งบพรบ!DH86"")"),0)</f>
        <v>0</v>
      </c>
      <c r="M274" s="544">
        <f ca="1">IFERROR(__xludf.DUMMYFUNCTION("IMPORTRANGE(""https://docs.google.com/spreadsheets/d/1-uDff_7J0KD5mKrp0Vvzr7lt3OU09vwQwhkpOPPYv2Y/edit?usp=sharing"",""งบพรบ!DK86"")"),0)</f>
        <v>0</v>
      </c>
      <c r="N274" s="544">
        <f ca="1">IFERROR(__xludf.DUMMYFUNCTION("IMPORTRANGE(""https://docs.google.com/spreadsheets/d/1-uDff_7J0KD5mKrp0Vvzr7lt3OU09vwQwhkpOPPYv2Y/edit?usp=sharing"",""งบพรบ!DM86"")"),0)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IFERROR(__xludf.DUMMYFUNCTION("IMPORTRANGE(""https://docs.google.com/spreadsheets/d/1-uDff_7J0KD5mKrp0Vvzr7lt3OU09vwQwhkpOPPYv2Y/edit?usp=sharing"",""งบพรบ!DO86"")"),0)</f>
        <v>0</v>
      </c>
      <c r="M287" s="425">
        <f ca="1">IFERROR(__xludf.DUMMYFUNCTION("IMPORTRANGE(""https://docs.google.com/spreadsheets/d/1-uDff_7J0KD5mKrp0Vvzr7lt3OU09vwQwhkpOPPYv2Y/edit?usp=sharing"",""งบพรบ!DT86"")"),0)</f>
        <v>0</v>
      </c>
      <c r="N287" s="425">
        <f ca="1">IFERROR(__xludf.DUMMYFUNCTION("IMPORTRANGE(""https://docs.google.com/spreadsheets/d/1-uDff_7J0KD5mKrp0Vvzr7lt3OU09vwQwhkpOPPYv2Y/edit?usp=sharing"",""งบพรบ!DV86"")"),0)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IFERROR(__xludf.DUMMYFUNCTION("IMPORTRANGE(""https://docs.google.com/spreadsheets/d/1-uDff_7J0KD5mKrp0Vvzr7lt3OU09vwQwhkpOPPYv2Y/edit?usp=sharing"",""งบพรบ!DR86"")"),0)</f>
        <v>0</v>
      </c>
      <c r="M290" s="425">
        <f ca="1">IFERROR(__xludf.DUMMYFUNCTION("IMPORTRANGE(""https://docs.google.com/spreadsheets/d/1-uDff_7J0KD5mKrp0Vvzr7lt3OU09vwQwhkpOPPYv2Y/edit?usp=sharing"",""งบพรบ!DU86"")"),0)</f>
        <v>0</v>
      </c>
      <c r="N290" s="425">
        <f ca="1">IFERROR(__xludf.DUMMYFUNCTION("IMPORTRANGE(""https://docs.google.com/spreadsheets/d/1-uDff_7J0KD5mKrp0Vvzr7lt3OU09vwQwhkpOPPYv2Y/edit?usp=sharing"",""งบพรบ!DW86"")"),0)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IFERROR(__xludf.DUMMYFUNCTION("IMPORTRANGE(""https://docs.google.com/spreadsheets/d/1eHaY18a8A9IcSdp1K8H6x8fbOy06t2VsZHhMHf-1x7Y/edit?usp=sharing"",""แผน!EE86"")"),0)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IFERROR(__xludf.DUMMYFUNCTION("IMPORTRANGE(""https://docs.google.com/spreadsheets/d/1eHaY18a8A9IcSdp1K8H6x8fbOy06t2VsZHhMHf-1x7Y/edit?usp=sharing"",""แผน!ED86"")"),0)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IFERROR(__xludf.DUMMYFUNCTION("IMPORTRANGE(""https://docs.google.com/spreadsheets/d/1eHaY18a8A9IcSdp1K8H6x8fbOy06t2VsZHhMHf-1x7Y/edit?usp=sharing"",""แผน!ED86"")"),0)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IFERROR(__xludf.DUMMYFUNCTION("IMPORTRANGE(""https://docs.google.com/spreadsheets/d/1eHaY18a8A9IcSdp1K8H6x8fbOy06t2VsZHhMHf-1x7Y/edit?usp=sharing"",""แผน!ED86"")"),0)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IFERROR(__xludf.DUMMYFUNCTION("IMPORTRANGE(""https://docs.google.com/spreadsheets/d/1-uDff_7J0KD5mKrp0Vvzr7lt3OU09vwQwhkpOPPYv2Y/edit?usp=sharing"",""งบพรบ!DY86"")"),0)</f>
        <v>0</v>
      </c>
      <c r="M308" s="425">
        <f ca="1">IFERROR(__xludf.DUMMYFUNCTION("IMPORTRANGE(""https://docs.google.com/spreadsheets/d/1-uDff_7J0KD5mKrp0Vvzr7lt3OU09vwQwhkpOPPYv2Y/edit?usp=sharing"",""งบพรบ!ED86"")"),0)</f>
        <v>0</v>
      </c>
      <c r="N308" s="425">
        <f ca="1">IFERROR(__xludf.DUMMYFUNCTION("IMPORTRANGE(""https://docs.google.com/spreadsheets/d/1-uDff_7J0KD5mKrp0Vvzr7lt3OU09vwQwhkpOPPYv2Y/edit?usp=sharing"",""งบพรบ!EF86"")"),0)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IFERROR(__xludf.DUMMYFUNCTION("IMPORTRANGE(""https://docs.google.com/spreadsheets/d/1-uDff_7J0KD5mKrp0Vvzr7lt3OU09vwQwhkpOPPYv2Y/edit?usp=sharing"",""งบพรบ!EB86"")"),0)</f>
        <v>0</v>
      </c>
      <c r="M311" s="425">
        <f ca="1">IFERROR(__xludf.DUMMYFUNCTION("IMPORTRANGE(""https://docs.google.com/spreadsheets/d/1-uDff_7J0KD5mKrp0Vvzr7lt3OU09vwQwhkpOPPYv2Y/edit?usp=sharing"",""งบพรบ!EE86"")"),0)</f>
        <v>0</v>
      </c>
      <c r="N311" s="425">
        <f ca="1">IFERROR(__xludf.DUMMYFUNCTION("IMPORTRANGE(""https://docs.google.com/spreadsheets/d/1-uDff_7J0KD5mKrp0Vvzr7lt3OU09vwQwhkpOPPYv2Y/edit?usp=sharing"",""งบพรบ!EG86"")"),0)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IFERROR(__xludf.DUMMYFUNCTION("IMPORTRANGE(""https://docs.google.com/spreadsheets/d/1eHaY18a8A9IcSdp1K8H6x8fbOy06t2VsZHhMHf-1x7Y/edit?usp=sharing"",""แผน!EF86"")"),0)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IFERROR(__xludf.DUMMYFUNCTION("IMPORTRANGE(""https://docs.google.com/spreadsheets/d/1eHaY18a8A9IcSdp1K8H6x8fbOy06t2VsZHhMHf-1x7Y/edit?usp=sharing"",""แผน!EG86"")"),0)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IFERROR(__xludf.DUMMYFUNCTION("IMPORTRANGE(""https://docs.google.com/spreadsheets/d/1eHaY18a8A9IcSdp1K8H6x8fbOy06t2VsZHhMHf-1x7Y/edit?usp=sharing"",""แผน!EH86"")"),0)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IFERROR(__xludf.DUMMYFUNCTION("IMPORTRANGE(""https://docs.google.com/spreadsheets/d/1eHaY18a8A9IcSdp1K8H6x8fbOy06t2VsZHhMHf-1x7Y/edit?usp=sharing"",""แผน!EI86"")"),0)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1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20000</v>
      </c>
      <c r="M320" s="550">
        <f ca="1">M321+M322</f>
        <v>20000</v>
      </c>
      <c r="N320" s="550">
        <f ca="1">N321+N322</f>
        <v>1240</v>
      </c>
      <c r="O320" s="550">
        <f ca="1">IF(L320&gt;0,N320*100/L320,0)</f>
        <v>6.2</v>
      </c>
      <c r="P320" s="550">
        <f ca="1">IF(M320&gt;0,N320*100/M320,0)</f>
        <v>6.2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20000</v>
      </c>
      <c r="M322" s="425">
        <f ca="1">M325+M328</f>
        <v>20000</v>
      </c>
      <c r="N322" s="425">
        <f ca="1">N325+N328</f>
        <v>1240</v>
      </c>
      <c r="O322" s="425">
        <f ca="1">IF(L322&gt;0,N322*100/L322,0)</f>
        <v>6.2</v>
      </c>
      <c r="P322" s="425">
        <f ca="1">IF(M322&gt;0,N322*100/M322,0)</f>
        <v>6.2</v>
      </c>
    </row>
    <row r="323" spans="1:16" ht="18.75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20000</v>
      </c>
      <c r="M323" s="425">
        <f ca="1">M324+M325</f>
        <v>20000</v>
      </c>
      <c r="N323" s="425">
        <f ca="1">N324+N325</f>
        <v>1240</v>
      </c>
      <c r="O323" s="425">
        <f ca="1">IF(L323&gt;0,N323*100/L323,0)</f>
        <v>6.2</v>
      </c>
      <c r="P323" s="425">
        <f ca="1">IF(M323&gt;0,N323*100/M323,0)</f>
        <v>6.2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IFERROR(__xludf.DUMMYFUNCTION("IMPORTRANGE(""https://docs.google.com/spreadsheets/d/1-uDff_7J0KD5mKrp0Vvzr7lt3OU09vwQwhkpOPPYv2Y/edit?usp=sharing"",""งบพรบ!EI86"")"),20000)</f>
        <v>20000</v>
      </c>
      <c r="M325" s="425">
        <f ca="1">IFERROR(__xludf.DUMMYFUNCTION("IMPORTRANGE(""https://docs.google.com/spreadsheets/d/1-uDff_7J0KD5mKrp0Vvzr7lt3OU09vwQwhkpOPPYv2Y/edit?usp=sharing"",""งบพรบ!EN86"")"),20000)</f>
        <v>20000</v>
      </c>
      <c r="N325" s="425">
        <f ca="1">IFERROR(__xludf.DUMMYFUNCTION("IMPORTRANGE(""https://docs.google.com/spreadsheets/d/1-uDff_7J0KD5mKrp0Vvzr7lt3OU09vwQwhkpOPPYv2Y/edit?usp=sharing"",""งบพรบ!EP86"")"),1240)</f>
        <v>1240</v>
      </c>
      <c r="O325" s="425">
        <f ca="1">IF(L325&gt;0,N325*100/L325,0)</f>
        <v>6.2</v>
      </c>
      <c r="P325" s="425">
        <f ca="1">IF(M325&gt;0,N325*100/M325,0)</f>
        <v>6.2</v>
      </c>
    </row>
    <row r="326" spans="1:16" ht="18.75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IFERROR(__xludf.DUMMYFUNCTION("IMPORTRANGE(""https://docs.google.com/spreadsheets/d/1-uDff_7J0KD5mKrp0Vvzr7lt3OU09vwQwhkpOPPYv2Y/edit?usp=sharing"",""งบพรบ!EL86"")"),0)</f>
        <v>0</v>
      </c>
      <c r="M328" s="425">
        <f ca="1">IFERROR(__xludf.DUMMYFUNCTION("IMPORTRANGE(""https://docs.google.com/spreadsheets/d/1-uDff_7J0KD5mKrp0Vvzr7lt3OU09vwQwhkpOPPYv2Y/edit?usp=sharing"",""งบพรบ!EO86"")"),0)</f>
        <v>0</v>
      </c>
      <c r="N328" s="425">
        <f ca="1">IFERROR(__xludf.DUMMYFUNCTION("IMPORTRANGE(""https://docs.google.com/spreadsheets/d/1-uDff_7J0KD5mKrp0Vvzr7lt3OU09vwQwhkpOPPYv2Y/edit?usp=sharing"",""งบพรบ!EQ86"")"),0)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IFERROR(__xludf.DUMMYFUNCTION("IMPORTRANGE(""https://docs.google.com/spreadsheets/d/1eHaY18a8A9IcSdp1K8H6x8fbOy06t2VsZHhMHf-1x7Y/edit?usp=sharing"",""แผน!EJ86"")"),1)</f>
        <v>1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860</v>
      </c>
      <c r="J332" s="402">
        <f ca="1">J344+J347+J348+J349+J353</f>
        <v>754</v>
      </c>
      <c r="K332" s="403">
        <f ca="1">IF(I332&gt;0,J332*100/I332,0)</f>
        <v>87.674418604651166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106000</v>
      </c>
      <c r="M333" s="550">
        <f ca="1">M334+M335</f>
        <v>85750</v>
      </c>
      <c r="N333" s="550">
        <f ca="1">N334+N335</f>
        <v>35804</v>
      </c>
      <c r="O333" s="550">
        <f ca="1">IF(L333&gt;0,N333*100/L333,0)</f>
        <v>33.777358490566037</v>
      </c>
      <c r="P333" s="550">
        <f ca="1">IF(M333&gt;0,N333*100/M333,0)</f>
        <v>41.753935860058306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106000</v>
      </c>
      <c r="M335" s="425">
        <f ca="1">M338+M341</f>
        <v>85750</v>
      </c>
      <c r="N335" s="425">
        <f ca="1">N338+N341</f>
        <v>35804</v>
      </c>
      <c r="O335" s="425">
        <f ca="1">IF(L335&gt;0,N335*100/L335,0)</f>
        <v>33.777358490566037</v>
      </c>
      <c r="P335" s="425">
        <f ca="1">IF(M335&gt;0,N335*100/M335,0)</f>
        <v>41.753935860058306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106000</v>
      </c>
      <c r="M336" s="425">
        <f ca="1">M337+M338</f>
        <v>85750</v>
      </c>
      <c r="N336" s="425">
        <f ca="1">N337+N338</f>
        <v>35804</v>
      </c>
      <c r="O336" s="425">
        <f ca="1">IF(L336&gt;0,N336*100/L336,0)</f>
        <v>33.777358490566037</v>
      </c>
      <c r="P336" s="425">
        <f ca="1">IF(M336&gt;0,N336*100/M336,0)</f>
        <v>41.753935860058306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IFERROR(__xludf.DUMMYFUNCTION("IMPORTRANGE(""https://docs.google.com/spreadsheets/d/1-uDff_7J0KD5mKrp0Vvzr7lt3OU09vwQwhkpOPPYv2Y/edit?usp=sharing"",""งบพรบ!ES86"")"),106000)</f>
        <v>106000</v>
      </c>
      <c r="M338" s="425">
        <f ca="1">IFERROR(__xludf.DUMMYFUNCTION("IMPORTRANGE(""https://docs.google.com/spreadsheets/d/1-uDff_7J0KD5mKrp0Vvzr7lt3OU09vwQwhkpOPPYv2Y/edit?usp=sharing"",""งบพรบ!EX86"")"),85750)</f>
        <v>85750</v>
      </c>
      <c r="N338" s="425">
        <f ca="1">IFERROR(__xludf.DUMMYFUNCTION("IMPORTRANGE(""https://docs.google.com/spreadsheets/d/1-uDff_7J0KD5mKrp0Vvzr7lt3OU09vwQwhkpOPPYv2Y/edit?usp=sharing"",""งบพรบ!EZ86"")"),35804)</f>
        <v>35804</v>
      </c>
      <c r="O338" s="425">
        <f ca="1">IF(L338&gt;0,N338*100/L338,0)</f>
        <v>33.777358490566037</v>
      </c>
      <c r="P338" s="425">
        <f ca="1">IF(M338&gt;0,N338*100/M338,0)</f>
        <v>41.753935860058306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IFERROR(__xludf.DUMMYFUNCTION("IMPORTRANGE(""https://docs.google.com/spreadsheets/d/1-uDff_7J0KD5mKrp0Vvzr7lt3OU09vwQwhkpOPPYv2Y/edit?usp=sharing"",""งบพรบ!EV86"")"),0)</f>
        <v>0</v>
      </c>
      <c r="M341" s="425">
        <f ca="1">IFERROR(__xludf.DUMMYFUNCTION("IMPORTRANGE(""https://docs.google.com/spreadsheets/d/1-uDff_7J0KD5mKrp0Vvzr7lt3OU09vwQwhkpOPPYv2Y/edit?usp=sharing"",""งบพรบ!EY86"")"),0)</f>
        <v>0</v>
      </c>
      <c r="N341" s="425">
        <f ca="1">IFERROR(__xludf.DUMMYFUNCTION("IMPORTRANGE(""https://docs.google.com/spreadsheets/d/1-uDff_7J0KD5mKrp0Vvzr7lt3OU09vwQwhkpOPPYv2Y/edit?usp=sharing"",""งบพรบ!FA86"")"),0)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385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IFERROR(__xludf.DUMMYFUNCTION("IMPORTRANGE(""https://docs.google.com/spreadsheets/d/1eHaY18a8A9IcSdp1K8H6x8fbOy06t2VsZHhMHf-1x7Y/edit?usp=sharing"",""แผน!EK86"")"),860)</f>
        <v>860</v>
      </c>
      <c r="J344" s="424">
        <f ca="1">IFERROR(__xludf.DUMMYFUNCTION("IMPORTRANGE(""https://docs.google.com/spreadsheets/d/1awYsYK3VOup2i3Pq_Yjnu8DRu_mYwSBnCR2QPthd0rU/edit?usp=sharing"",""ศูนย์ยกเว้นโฉนด!D86"")"),379)</f>
        <v>379</v>
      </c>
      <c r="K344" s="425">
        <f ca="1">IF(I344&gt;0,J344*100/I344,0)</f>
        <v>44.069767441860463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IFERROR(__xludf.DUMMYFUNCTION("IMPORTRANGE(""https://docs.google.com/spreadsheets/d/1eHaY18a8A9IcSdp1K8H6x8fbOy06t2VsZHhMHf-1x7Y/edit?usp=sharing"",""แผน!EL86"")"),3)</f>
        <v>3</v>
      </c>
      <c r="J346" s="424">
        <f ca="1">IFERROR(__xludf.DUMMYFUNCTION("IMPORTRANGE(""https://docs.google.com/spreadsheets/d/1awYsYK3VOup2i3Pq_Yjnu8DRu_mYwSBnCR2QPthd0rU/edit?usp=sharing"",""ศูนย์รวม!E86"")"),3)</f>
        <v>3</v>
      </c>
      <c r="K346" s="425">
        <f ca="1">IF(I346&gt;0,J346*100/I346,0)</f>
        <v>100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IFERROR(__xludf.DUMMYFUNCTION("IMPORTRANGE(""https://docs.google.com/spreadsheets/d/1awYsYK3VOup2i3Pq_Yjnu8DRu_mYwSBnCR2QPthd0rU/edit?usp=sharing"",""ศูนย์ยกเว้นโฉนด!F86"")"),5)</f>
        <v>5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IFERROR(__xludf.DUMMYFUNCTION("IMPORTRANGE(""https://docs.google.com/spreadsheets/d/1awYsYK3VOup2i3Pq_Yjnu8DRu_mYwSBnCR2QPthd0rU/edit?usp=sharing"",""ศูนย์ยกเว้นโฉนด!G86"")"),1)</f>
        <v>1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IFERROR(__xludf.DUMMYFUNCTION("IMPORTRANGE(""https://docs.google.com/spreadsheets/d/1awYsYK3VOup2i3Pq_Yjnu8DRu_mYwSBnCR2QPthd0rU/edit?usp=sharing"",""ศูนย์ยกเว้นโฉนด!H86"")"),0)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912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IFERROR(__xludf.DUMMYFUNCTION("IMPORTRANGE(""https://docs.google.com/spreadsheets/d/1awYsYK3VOup2i3Pq_Yjnu8DRu_mYwSBnCR2QPthd0rU/edit?usp=sharing"",""โฉนดM3!G86"")"),543)</f>
        <v>543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IFERROR(__xludf.DUMMYFUNCTION("IMPORTRANGE(""https://docs.google.com/spreadsheets/d/1awYsYK3VOup2i3Pq_Yjnu8DRu_mYwSBnCR2QPthd0rU/edit?usp=sharing"",""โฉนดM3!H86"")"),369)</f>
        <v>369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607245</v>
      </c>
      <c r="M356" s="550">
        <f ca="1">M357+M358</f>
        <v>497445</v>
      </c>
      <c r="N356" s="550">
        <f ca="1">N357+N358</f>
        <v>195342</v>
      </c>
      <c r="O356" s="550">
        <f ca="1">IF(L356&gt;0,N356*100/L356,0)</f>
        <v>32.168564582664331</v>
      </c>
      <c r="P356" s="550">
        <f ca="1">IF(M356&gt;0,N356*100/M356,0)</f>
        <v>39.269064921750143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607245</v>
      </c>
      <c r="M358" s="425">
        <f ca="1">M361+M364</f>
        <v>497445</v>
      </c>
      <c r="N358" s="425">
        <f ca="1">N361+N364</f>
        <v>195342</v>
      </c>
      <c r="O358" s="425">
        <f ca="1">IF(L358&gt;0,N358*100/L358,0)</f>
        <v>32.168564582664331</v>
      </c>
      <c r="P358" s="425">
        <f ca="1">IF(M358&gt;0,N358*100/M358,0)</f>
        <v>39.269064921750143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607245</v>
      </c>
      <c r="M359" s="425">
        <f ca="1">M360+M361</f>
        <v>497445</v>
      </c>
      <c r="N359" s="425">
        <f ca="1">N360+N361</f>
        <v>195342</v>
      </c>
      <c r="O359" s="425">
        <f ca="1">IF(L359&gt;0,N359*100/L359,0)</f>
        <v>32.168564582664331</v>
      </c>
      <c r="P359" s="425">
        <f ca="1">IF(M359&gt;0,N359*100/M359,0)</f>
        <v>39.269064921750143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IFERROR(__xludf.DUMMYFUNCTION("IMPORTRANGE(""https://docs.google.com/spreadsheets/d/1-uDff_7J0KD5mKrp0Vvzr7lt3OU09vwQwhkpOPPYv2Y/edit?usp=sharing"",""งบพรบ!FC86"")"),607245)</f>
        <v>607245</v>
      </c>
      <c r="M361" s="425">
        <f ca="1">IFERROR(__xludf.DUMMYFUNCTION("IMPORTRANGE(""https://docs.google.com/spreadsheets/d/1-uDff_7J0KD5mKrp0Vvzr7lt3OU09vwQwhkpOPPYv2Y/edit?usp=sharing"",""งบพรบ!FH86"")"),497445)</f>
        <v>497445</v>
      </c>
      <c r="N361" s="425">
        <f ca="1">IFERROR(__xludf.DUMMYFUNCTION("IMPORTRANGE(""https://docs.google.com/spreadsheets/d/1-uDff_7J0KD5mKrp0Vvzr7lt3OU09vwQwhkpOPPYv2Y/edit?usp=sharing"",""งบพรบ!FJ86"")"),195342)</f>
        <v>195342</v>
      </c>
      <c r="O361" s="425">
        <f ca="1">IF(L361&gt;0,N361*100/L361,0)</f>
        <v>32.168564582664331</v>
      </c>
      <c r="P361" s="425">
        <f ca="1">IF(M361&gt;0,N361*100/M361,0)</f>
        <v>39.269064921750143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IFERROR(__xludf.DUMMYFUNCTION("IMPORTRANGE(""https://docs.google.com/spreadsheets/d/1-uDff_7J0KD5mKrp0Vvzr7lt3OU09vwQwhkpOPPYv2Y/edit?usp=sharing"",""งบพรบ!FF86"")"),0)</f>
        <v>0</v>
      </c>
      <c r="M364" s="425">
        <f ca="1">IFERROR(__xludf.DUMMYFUNCTION("IMPORTRANGE(""https://docs.google.com/spreadsheets/d/1-uDff_7J0KD5mKrp0Vvzr7lt3OU09vwQwhkpOPPYv2Y/edit?usp=sharing"",""งบพรบ!FI86"")"),0)</f>
        <v>0</v>
      </c>
      <c r="N364" s="425">
        <f ca="1">IFERROR(__xludf.DUMMYFUNCTION("IMPORTRANGE(""https://docs.google.com/spreadsheets/d/1-uDff_7J0KD5mKrp0Vvzr7lt3OU09vwQwhkpOPPYv2Y/edit?usp=sharing"",""งบพรบ!FK86"")"),0)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154</v>
      </c>
      <c r="J365" s="438">
        <f ca="1">J371</f>
        <v>56</v>
      </c>
      <c r="K365" s="439">
        <f ca="1">IF(I365&gt;0,J365*100/I365,0)</f>
        <v>36.363636363636367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IFERROR(__xludf.DUMMYFUNCTION("IMPORTRANGE(""https://docs.google.com/spreadsheets/d/1tdoBKaGub7dwA3U6UFTqxio9LNnvDCQjHKmttSEBsFQ/edit?usp=sharing"",""จัดที่ดิน!AB86"")"),36)</f>
        <v>36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IFERROR(__xludf.DUMMYFUNCTION("IMPORTRANGE(""https://docs.google.com/spreadsheets/d/1eHaY18a8A9IcSdp1K8H6x8fbOy06t2VsZHhMHf-1x7Y/edit?usp=sharing"",""แผน!EW86"")"),1390)</f>
        <v>1390</v>
      </c>
      <c r="J368" s="528">
        <f ca="1">IFERROR(__xludf.DUMMYFUNCTION("IMPORTRANGE(""https://docs.google.com/spreadsheets/d/1tdoBKaGub7dwA3U6UFTqxio9LNnvDCQjHKmttSEBsFQ/edit?usp=sharing"",""จัดที่ดิน!AC86"")"),315.17)</f>
        <v>315.17</v>
      </c>
      <c r="K368" s="425">
        <f ca="1">IF(I368&gt;0,J368*100/I368,0)</f>
        <v>22.674100719424459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IFERROR(__xludf.DUMMYFUNCTION("IMPORTRANGE(""https://docs.google.com/spreadsheets/d/1eHaY18a8A9IcSdp1K8H6x8fbOy06t2VsZHhMHf-1x7Y/edit?usp=sharing"",""แผน!EX86"")"),242)</f>
        <v>242</v>
      </c>
      <c r="J369" s="424">
        <f ca="1">IFERROR(__xludf.DUMMYFUNCTION("IMPORTRANGE(""https://docs.google.com/spreadsheets/d/1tdoBKaGub7dwA3U6UFTqxio9LNnvDCQjHKmttSEBsFQ/edit?usp=sharing"",""จัดที่ดิน!AD86"")"),56)</f>
        <v>56</v>
      </c>
      <c r="K369" s="425">
        <f ca="1">IF(I369&gt;0,J369*100/I369,0)</f>
        <v>23.140495867768596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IFERROR(__xludf.DUMMYFUNCTION("IMPORTRANGE(""https://docs.google.com/spreadsheets/d/1tdoBKaGub7dwA3U6UFTqxio9LNnvDCQjHKmttSEBsFQ/edit?usp=sharing"",""จัดที่ดิน!AE86"")"),618.22)</f>
        <v>618.22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IFERROR(__xludf.DUMMYFUNCTION("IMPORTRANGE(""https://docs.google.com/spreadsheets/d/1eHaY18a8A9IcSdp1K8H6x8fbOy06t2VsZHhMHf-1x7Y/edit?usp=sharing"",""แผน!EY86"")"),154)</f>
        <v>154</v>
      </c>
      <c r="J371" s="424">
        <f ca="1">IFERROR(__xludf.DUMMYFUNCTION("IMPORTRANGE(""https://docs.google.com/spreadsheets/d/1tdoBKaGub7dwA3U6UFTqxio9LNnvDCQjHKmttSEBsFQ/edit?usp=sharing"",""จัดที่ดิน!AF86"")"),56)</f>
        <v>56</v>
      </c>
      <c r="K371" s="425">
        <f ca="1">IF(I371&gt;0,J371*100/I371,0)</f>
        <v>36.363636363636367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IFERROR(__xludf.DUMMYFUNCTION("IMPORTRANGE(""https://docs.google.com/spreadsheets/d/1tdoBKaGub7dwA3U6UFTqxio9LNnvDCQjHKmttSEBsFQ/edit?usp=sharing"",""จัดที่ดิน!AG86"")"),618.22)</f>
        <v>618.22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IFERROR(__xludf.DUMMYFUNCTION("IMPORTRANGE(""https://docs.google.com/spreadsheets/d/1-uDff_7J0KD5mKrp0Vvzr7lt3OU09vwQwhkpOPPYv2Y/edit?usp=sharing"",""งบพรบ!FM86"")"),0)</f>
        <v>0</v>
      </c>
      <c r="M382" s="544">
        <f ca="1">IFERROR(__xludf.DUMMYFUNCTION("IMPORTRANGE(""https://docs.google.com/spreadsheets/d/1-uDff_7J0KD5mKrp0Vvzr7lt3OU09vwQwhkpOPPYv2Y/edit?usp=sharing"",""งบพรบ!FR86"")"),0)</f>
        <v>0</v>
      </c>
      <c r="N382" s="544">
        <f ca="1">IFERROR(__xludf.DUMMYFUNCTION("IMPORTRANGE(""https://docs.google.com/spreadsheets/d/1-uDff_7J0KD5mKrp0Vvzr7lt3OU09vwQwhkpOPPYv2Y/edit?usp=sharing"",""งบพรบ!FT86"")"),0)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IFERROR(__xludf.DUMMYFUNCTION("IMPORTRANGE(""https://docs.google.com/spreadsheets/d/1-uDff_7J0KD5mKrp0Vvzr7lt3OU09vwQwhkpOPPYv2Y/edit?usp=sharing"",""งบพรบ!FP86"")"),0)</f>
        <v>0</v>
      </c>
      <c r="M385" s="544">
        <f ca="1">IFERROR(__xludf.DUMMYFUNCTION("IMPORTRANGE(""https://docs.google.com/spreadsheets/d/1-uDff_7J0KD5mKrp0Vvzr7lt3OU09vwQwhkpOPPYv2Y/edit?usp=sharing"",""งบพรบ!FS86"")"),0)</f>
        <v>0</v>
      </c>
      <c r="N385" s="544">
        <f ca="1">IFERROR(__xludf.DUMMYFUNCTION("IMPORTRANGE(""https://docs.google.com/spreadsheets/d/1-uDff_7J0KD5mKrp0Vvzr7lt3OU09vwQwhkpOPPYv2Y/edit?usp=sharing"",""งบพรบ!FU86"")"),0)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4B16-CF06-49C2-AFC1-16AE021FF329}">
  <sheetPr>
    <outlinePr summaryBelow="0" summaryRight="0"/>
    <pageSetUpPr fitToPage="1"/>
  </sheetPr>
  <dimension ref="A1:P391"/>
  <sheetViews>
    <sheetView tabSelected="1"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173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1088325</v>
      </c>
      <c r="M18" s="709">
        <f ca="1">M19+M20</f>
        <v>879625</v>
      </c>
      <c r="N18" s="709">
        <f ca="1">N19+N20</f>
        <v>232284.15</v>
      </c>
      <c r="O18" s="709">
        <f ca="1">IF(L18&gt;0,N18*100/L18,0)</f>
        <v>21.343270622286543</v>
      </c>
      <c r="P18" s="709">
        <f ca="1">IF(M18&gt;0,N18*100/M18,0)</f>
        <v>26.407179195679976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1088325</v>
      </c>
      <c r="M20" s="822">
        <f ca="1">M23+M26</f>
        <v>879625</v>
      </c>
      <c r="N20" s="822">
        <f ca="1">N23+N26</f>
        <v>232284.15</v>
      </c>
      <c r="O20" s="822">
        <f ca="1">IF(L20&gt;0,N20*100/L20,0)</f>
        <v>21.343270622286543</v>
      </c>
      <c r="P20" s="822">
        <f ca="1">IF(M20&gt;0,N20*100/M20,0)</f>
        <v>26.407179195679976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1088325</v>
      </c>
      <c r="M21" s="425">
        <f ca="1">M22+M23</f>
        <v>879625</v>
      </c>
      <c r="N21" s="425">
        <f ca="1">N22+N23</f>
        <v>232284.15</v>
      </c>
      <c r="O21" s="425">
        <f ca="1">IF(L21&gt;0,N21*100/L21,0)</f>
        <v>21.343270622286543</v>
      </c>
      <c r="P21" s="425">
        <f ca="1">IF(M21&gt;0,N21*100/M21,0)</f>
        <v>26.407179195679976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1088325</v>
      </c>
      <c r="M23" s="425">
        <f ca="1">M49+M64+M77+M99+M130+M144+M162+M191+M178+M271+M287+M308+M325+M338+M361+M382</f>
        <v>879625</v>
      </c>
      <c r="N23" s="425">
        <f ca="1">N49+N64+N77+N99+N130+N144+N162+N191+N178+N271+N287+N308+N325+N338+N361+N382</f>
        <v>232284.15</v>
      </c>
      <c r="O23" s="425">
        <f ca="1">IF(L23&gt;0,N23*100/L23,0)</f>
        <v>21.343270622286543</v>
      </c>
      <c r="P23" s="425">
        <f ca="1">IF(M23&gt;0,N23*100/M23,0)</f>
        <v>26.407179195679976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1088325</v>
      </c>
      <c r="M40" s="814">
        <f ca="1">M44+M59+M72+M94+M125+M139+M157+M173+M186+M266+M282+M303+M320+M333+M356</f>
        <v>879625</v>
      </c>
      <c r="N40" s="814">
        <f ca="1">N44+N59+N72+N94+N125+N139+N157+N173+N186+N266+N282+N303+N320+N333+N356</f>
        <v>232284.15</v>
      </c>
      <c r="O40" s="814">
        <f ca="1">IF(L40&gt;0,N40*100/L40,0)</f>
        <v>21.343270622286543</v>
      </c>
      <c r="P40" s="814">
        <f ca="1">IF(M40&gt;0,N40*100/M40,0)</f>
        <v>26.407179195679976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224450</v>
      </c>
      <c r="M44" s="799">
        <f ca="1">M45+M46</f>
        <v>226700</v>
      </c>
      <c r="N44" s="799">
        <f ca="1">N45+N46</f>
        <v>96750</v>
      </c>
      <c r="O44" s="799">
        <f ca="1">IF(L44&gt;0,N44*100/L44,0)</f>
        <v>43.105368678993095</v>
      </c>
      <c r="P44" s="799">
        <f ca="1">IF(M44&gt;0,N44*100/M44,0)</f>
        <v>42.677547419497131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224450</v>
      </c>
      <c r="M46" s="788">
        <f ca="1">M49+M52</f>
        <v>226700</v>
      </c>
      <c r="N46" s="788">
        <f ca="1">N49+N52</f>
        <v>96750</v>
      </c>
      <c r="O46" s="788">
        <f ca="1">IF(L46&gt;0,N46*100/L46,0)</f>
        <v>43.105368678993095</v>
      </c>
      <c r="P46" s="788">
        <f ca="1">IF(M46&gt;0,N46*100/M46,0)</f>
        <v>42.677547419497131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224450</v>
      </c>
      <c r="M47" s="425">
        <f ca="1">M48+M49</f>
        <v>226700</v>
      </c>
      <c r="N47" s="425">
        <f ca="1">N48+N49</f>
        <v>96750</v>
      </c>
      <c r="O47" s="425">
        <f ca="1">IF(L47&gt;0,N47*100/L47,0)</f>
        <v>43.105368678993095</v>
      </c>
      <c r="P47" s="425">
        <f ca="1">IF(M47&gt;0,N47*100/M47,0)</f>
        <v>42.677547419497131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IFERROR(__xludf.DUMMYFUNCTION("IMPORTRANGE(""https://docs.google.com/spreadsheets/d/1-uDff_7J0KD5mKrp0Vvzr7lt3OU09vwQwhkpOPPYv2Y/edit?usp=sharing"",""งบพรบ!P87"")"),224450)</f>
        <v>224450</v>
      </c>
      <c r="M49" s="425">
        <f ca="1">IFERROR(__xludf.DUMMYFUNCTION("IMPORTRANGE(""https://docs.google.com/spreadsheets/d/1-uDff_7J0KD5mKrp0Vvzr7lt3OU09vwQwhkpOPPYv2Y/edit?usp=sharing"",""งบพรบ!V87"")"),226700)</f>
        <v>226700</v>
      </c>
      <c r="N49" s="425">
        <f ca="1">IFERROR(__xludf.DUMMYFUNCTION("IMPORTRANGE(""https://docs.google.com/spreadsheets/d/1-uDff_7J0KD5mKrp0Vvzr7lt3OU09vwQwhkpOPPYv2Y/edit?usp=sharing"",""งบพรบ!Y87"")"),96750)</f>
        <v>96750</v>
      </c>
      <c r="O49" s="425">
        <f ca="1">IF(L49&gt;0,N49*100/L49,0)</f>
        <v>43.105368678993095</v>
      </c>
      <c r="P49" s="425">
        <f ca="1">IF(M49&gt;0,N49*100/M49,0)</f>
        <v>42.677547419497131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IFERROR(__xludf.DUMMYFUNCTION("IMPORTRANGE(""https://docs.google.com/spreadsheets/d/1-uDff_7J0KD5mKrp0Vvzr7lt3OU09vwQwhkpOPPYv2Y/edit?usp=sharing"",""งบพรบ!S87"")"),0)</f>
        <v>0</v>
      </c>
      <c r="M52" s="425">
        <f ca="1">IFERROR(__xludf.DUMMYFUNCTION("IMPORTRANGE(""https://docs.google.com/spreadsheets/d/1-uDff_7J0KD5mKrp0Vvzr7lt3OU09vwQwhkpOPPYv2Y/edit?usp=sharing"",""งบพรบ!W87"")"),0)</f>
        <v>0</v>
      </c>
      <c r="N52" s="425">
        <f ca="1">IFERROR(__xludf.DUMMYFUNCTION("IMPORTRANGE(""https://docs.google.com/spreadsheets/d/1-uDff_7J0KD5mKrp0Vvzr7lt3OU09vwQwhkpOPPYv2Y/edit?usp=sharing"",""งบพรบ!Z87"")"),0)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215400</v>
      </c>
      <c r="M59" s="768">
        <f ca="1">M60+M61</f>
        <v>163600</v>
      </c>
      <c r="N59" s="768">
        <f ca="1">N60+N61</f>
        <v>52262.15</v>
      </c>
      <c r="O59" s="768">
        <f ca="1">IF(L59&gt;0,N59*100/L59,0)</f>
        <v>24.262836583101208</v>
      </c>
      <c r="P59" s="768">
        <f ca="1">IF(M59&gt;0,N59*100/M59,0)</f>
        <v>31.94507946210269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215400</v>
      </c>
      <c r="M61" s="757">
        <f ca="1">M64+M67</f>
        <v>163600</v>
      </c>
      <c r="N61" s="757">
        <f ca="1">N64+N67</f>
        <v>52262.15</v>
      </c>
      <c r="O61" s="757">
        <f ca="1">IF(L61&gt;0,N61*100/L61,0)</f>
        <v>24.262836583101208</v>
      </c>
      <c r="P61" s="757">
        <f ca="1">IF(M61&gt;0,N61*100/M61,0)</f>
        <v>31.94507946210269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215400</v>
      </c>
      <c r="M62" s="425">
        <f ca="1">M63+M64</f>
        <v>163600</v>
      </c>
      <c r="N62" s="425">
        <f ca="1">N63+N64</f>
        <v>52262.15</v>
      </c>
      <c r="O62" s="425">
        <f ca="1">IF(L62&gt;0,N62*100/L62,0)</f>
        <v>24.262836583101208</v>
      </c>
      <c r="P62" s="425">
        <f ca="1">IF(M62&gt;0,N62*100/M62,0)</f>
        <v>31.94507946210269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IFERROR(__xludf.DUMMYFUNCTION("IMPORTRANGE(""https://docs.google.com/spreadsheets/d/1-uDff_7J0KD5mKrp0Vvzr7lt3OU09vwQwhkpOPPYv2Y/edit?usp=sharing"",""งบพรบ!AC87"")"),215400)</f>
        <v>215400</v>
      </c>
      <c r="M64" s="425">
        <f ca="1">IFERROR(__xludf.DUMMYFUNCTION("IMPORTRANGE(""https://docs.google.com/spreadsheets/d/1-uDff_7J0KD5mKrp0Vvzr7lt3OU09vwQwhkpOPPYv2Y/edit?usp=sharing"",""งบพรบ!AH87"")"),163600)</f>
        <v>163600</v>
      </c>
      <c r="N64" s="425">
        <f ca="1">IFERROR(__xludf.DUMMYFUNCTION("IMPORTRANGE(""https://docs.google.com/spreadsheets/d/1-uDff_7J0KD5mKrp0Vvzr7lt3OU09vwQwhkpOPPYv2Y/edit?usp=sharing"",""งบพรบ!AJ87"")"),52262.15)</f>
        <v>52262.15</v>
      </c>
      <c r="O64" s="425">
        <f ca="1">IF(L64&gt;0,N64*100/L64,0)</f>
        <v>24.262836583101208</v>
      </c>
      <c r="P64" s="425">
        <f ca="1">IF(M64&gt;0,N64*100/M64,0)</f>
        <v>31.94507946210269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IFERROR(__xludf.DUMMYFUNCTION("IMPORTRANGE(""https://docs.google.com/spreadsheets/d/1-uDff_7J0KD5mKrp0Vvzr7lt3OU09vwQwhkpOPPYv2Y/edit?usp=sharing"",""งบพรบ!AF87"")"),0)</f>
        <v>0</v>
      </c>
      <c r="M67" s="752">
        <f ca="1">IFERROR(__xludf.DUMMYFUNCTION("IMPORTRANGE(""https://docs.google.com/spreadsheets/d/1-uDff_7J0KD5mKrp0Vvzr7lt3OU09vwQwhkpOPPYv2Y/edit?usp=sharing"",""งบพรบ!AI87"")"),0)</f>
        <v>0</v>
      </c>
      <c r="N67" s="752">
        <f ca="1">IFERROR(__xludf.DUMMYFUNCTION("IMPORTRANGE(""https://docs.google.com/spreadsheets/d/1-uDff_7J0KD5mKrp0Vvzr7lt3OU09vwQwhkpOPPYv2Y/edit?usp=sharing"",""งบพรบ!AK87"")"),0)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hidden="1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IFERROR(__xludf.DUMMYFUNCTION("IMPORTRANGE(""https://docs.google.com/spreadsheets/d/1-uDff_7J0KD5mKrp0Vvzr7lt3OU09vwQwhkpOPPYv2Y/edit?usp=sharing"",""งบพรบ!AM87"")"),0)</f>
        <v>0</v>
      </c>
      <c r="M77" s="425">
        <f ca="1">IFERROR(__xludf.DUMMYFUNCTION("IMPORTRANGE(""https://docs.google.com/spreadsheets/d/1-uDff_7J0KD5mKrp0Vvzr7lt3OU09vwQwhkpOPPYv2Y/edit?usp=sharing"",""งบพรบ!AR87"")"),0)</f>
        <v>0</v>
      </c>
      <c r="N77" s="425">
        <f ca="1">IFERROR(__xludf.DUMMYFUNCTION("IMPORTRANGE(""https://docs.google.com/spreadsheets/d/1-uDff_7J0KD5mKrp0Vvzr7lt3OU09vwQwhkpOPPYv2Y/edit?usp=sharing"",""งบพรบ!AT87"")"),0)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IFERROR(__xludf.DUMMYFUNCTION("IMPORTRANGE(""https://docs.google.com/spreadsheets/d/1-uDff_7J0KD5mKrp0Vvzr7lt3OU09vwQwhkpOPPYv2Y/edit?usp=sharing"",""งบพรบ!AP87"")"),0)</f>
        <v>0</v>
      </c>
      <c r="M80" s="425">
        <f ca="1">IFERROR(__xludf.DUMMYFUNCTION("IMPORTRANGE(""https://docs.google.com/spreadsheets/d/1-uDff_7J0KD5mKrp0Vvzr7lt3OU09vwQwhkpOPPYv2Y/edit?usp=sharing"",""งบพรบ!AS87"")"),0)</f>
        <v>0</v>
      </c>
      <c r="N80" s="425">
        <f ca="1">IFERROR(__xludf.DUMMYFUNCTION("IMPORTRANGE(""https://docs.google.com/spreadsheets/d/1-uDff_7J0KD5mKrp0Vvzr7lt3OU09vwQwhkpOPPYv2Y/edit?usp=sharing"",""งบพรบ!AU87"")"),0)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IFERROR(__xludf.DUMMYFUNCTION("IMPORTRANGE(""https://docs.google.com/spreadsheets/d/1eHaY18a8A9IcSdp1K8H6x8fbOy06t2VsZHhMHf-1x7Y/edit?usp=sharing"",""แผน!H87"")"),0)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IFERROR(__xludf.DUMMYFUNCTION("IMPORTRANGE(""https://docs.google.com/spreadsheets/d/1eHaY18a8A9IcSdp1K8H6x8fbOy06t2VsZHhMHf-1x7Y/edit?usp=sharing"",""แผน!I87"")"),0)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IFERROR(__xludf.DUMMYFUNCTION("IMPORTRANGE(""https://docs.google.com/spreadsheets/d/1eHaY18a8A9IcSdp1K8H6x8fbOy06t2VsZHhMHf-1x7Y/edit?usp=sharing"",""แผน!F87"")"),0)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IFERROR(__xludf.DUMMYFUNCTION("IMPORTRANGE(""https://docs.google.com/spreadsheets/d/1eHaY18a8A9IcSdp1K8H6x8fbOy06t2VsZHhMHf-1x7Y/edit?usp=sharing"",""แผน!G87"")"),0)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IFERROR(__xludf.DUMMYFUNCTION("IMPORTRANGE(""https://docs.google.com/spreadsheets/d/1eHaY18a8A9IcSdp1K8H6x8fbOy06t2VsZHhMHf-1x7Y/edit?usp=sharing"",""แผน!D87"")"),0)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IFERROR(__xludf.DUMMYFUNCTION("IMPORTRANGE(""https://docs.google.com/spreadsheets/d/1eHaY18a8A9IcSdp1K8H6x8fbOy06t2VsZHhMHf-1x7Y/edit?usp=sharing"",""แผน!E87"")"),0)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IFERROR(__xludf.DUMMYFUNCTION("IMPORTRANGE(""https://docs.google.com/spreadsheets/d/1eHaY18a8A9IcSdp1K8H6x8fbOy06t2VsZHhMHf-1x7Y/edit?usp=sharing"",""แผน!J87"")"),0)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IFERROR(__xludf.DUMMYFUNCTION("IMPORTRANGE(""https://docs.google.com/spreadsheets/d/1-uDff_7J0KD5mKrp0Vvzr7lt3OU09vwQwhkpOPPYv2Y/edit?usp=sharing"",""งบพรบ!AW87"")"),0)</f>
        <v>0</v>
      </c>
      <c r="M99" s="425">
        <f ca="1">IFERROR(__xludf.DUMMYFUNCTION("IMPORTRANGE(""https://docs.google.com/spreadsheets/d/1-uDff_7J0KD5mKrp0Vvzr7lt3OU09vwQwhkpOPPYv2Y/edit?usp=sharing"",""งบพรบ!BB87"")"),0)</f>
        <v>0</v>
      </c>
      <c r="N99" s="425">
        <f ca="1">IFERROR(__xludf.DUMMYFUNCTION("IMPORTRANGE(""https://docs.google.com/spreadsheets/d/1-uDff_7J0KD5mKrp0Vvzr7lt3OU09vwQwhkpOPPYv2Y/edit?usp=sharing"",""งบพรบ!BD87"")"),0)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IFERROR(__xludf.DUMMYFUNCTION("IMPORTRANGE(""https://docs.google.com/spreadsheets/d/1-uDff_7J0KD5mKrp0Vvzr7lt3OU09vwQwhkpOPPYv2Y/edit?usp=sharing"",""งบพรบ!AZ87"")"),0)</f>
        <v>0</v>
      </c>
      <c r="M102" s="425">
        <f ca="1">IFERROR(__xludf.DUMMYFUNCTION("IMPORTRANGE(""https://docs.google.com/spreadsheets/d/1-uDff_7J0KD5mKrp0Vvzr7lt3OU09vwQwhkpOPPYv2Y/edit?usp=sharing"",""งบพรบ!BC87"")"),0)</f>
        <v>0</v>
      </c>
      <c r="N102" s="425">
        <f ca="1">IFERROR(__xludf.DUMMYFUNCTION("IMPORTRANGE(""https://docs.google.com/spreadsheets/d/1-uDff_7J0KD5mKrp0Vvzr7lt3OU09vwQwhkpOPPYv2Y/edit?usp=sharing"",""งบพรบ!BE87"")"),0)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IFERROR(__xludf.DUMMYFUNCTION("IMPORTRANGE(""https://docs.google.com/spreadsheets/d/1eHaY18a8A9IcSdp1K8H6x8fbOy06t2VsZHhMHf-1x7Y/edit?usp=sharing"",""แผน!N87"")"),0)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IFERROR(__xludf.DUMMYFUNCTION("IMPORTRANGE(""https://docs.google.com/spreadsheets/d/1eHaY18a8A9IcSdp1K8H6x8fbOy06t2VsZHhMHf-1x7Y/edit?usp=sharing"",""แผน!O87"")"),0)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IFERROR(__xludf.DUMMYFUNCTION("IMPORTRANGE(""https://docs.google.com/spreadsheets/d/1eHaY18a8A9IcSdp1K8H6x8fbOy06t2VsZHhMHf-1x7Y/edit?usp=sharing"",""แผน!R87"")"),0)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IFERROR(__xludf.DUMMYFUNCTION("IMPORTRANGE(""https://docs.google.com/spreadsheets/d/1-uDff_7J0KD5mKrp0Vvzr7lt3OU09vwQwhkpOPPYv2Y/edit?usp=sharing"",""งบพรบ!BG87"")"),0)</f>
        <v>0</v>
      </c>
      <c r="M130" s="728">
        <f ca="1">IFERROR(__xludf.DUMMYFUNCTION("IMPORTRANGE(""https://docs.google.com/spreadsheets/d/1-uDff_7J0KD5mKrp0Vvzr7lt3OU09vwQwhkpOPPYv2Y/edit?usp=sharing"",""งบพรบ!BL87"")"),0)</f>
        <v>0</v>
      </c>
      <c r="N130" s="728">
        <f ca="1">IFERROR(__xludf.DUMMYFUNCTION("IMPORTRANGE(""https://docs.google.com/spreadsheets/d/1-uDff_7J0KD5mKrp0Vvzr7lt3OU09vwQwhkpOPPYv2Y/edit?usp=sharing"",""งบพรบ!BN87"")"),0)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IFERROR(__xludf.DUMMYFUNCTION("IMPORTRANGE(""https://docs.google.com/spreadsheets/d/1-uDff_7J0KD5mKrp0Vvzr7lt3OU09vwQwhkpOPPYv2Y/edit?usp=sharing"",""งบพรบ!BJ87"")"),0)</f>
        <v>0</v>
      </c>
      <c r="M133" s="728">
        <f ca="1">IFERROR(__xludf.DUMMYFUNCTION("IMPORTRANGE(""https://docs.google.com/spreadsheets/d/1-uDff_7J0KD5mKrp0Vvzr7lt3OU09vwQwhkpOPPYv2Y/edit?usp=sharing"",""งบพรบ!BM87"")"),0)</f>
        <v>0</v>
      </c>
      <c r="N133" s="728">
        <f ca="1">IFERROR(__xludf.DUMMYFUNCTION("IMPORTRANGE(""https://docs.google.com/spreadsheets/d/1-uDff_7J0KD5mKrp0Vvzr7lt3OU09vwQwhkpOPPYv2Y/edit?usp=sharing"",""งบพรบ!BO87"")"),0)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hidden="1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hidden="1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hidden="1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hidden="1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hidden="1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0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hidden="1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0</v>
      </c>
      <c r="M139" s="550">
        <f ca="1">M140+M141</f>
        <v>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hidden="1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0</v>
      </c>
      <c r="M141" s="425">
        <f ca="1">M144+M147</f>
        <v>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hidden="1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0</v>
      </c>
      <c r="M142" s="425">
        <f ca="1">M143+M144</f>
        <v>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hidden="1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IFERROR(__xludf.DUMMYFUNCTION("IMPORTRANGE(""https://docs.google.com/spreadsheets/d/1-uDff_7J0KD5mKrp0Vvzr7lt3OU09vwQwhkpOPPYv2Y/edit?usp=sharing"",""งบพรบ!BQ87"")"),0)</f>
        <v>0</v>
      </c>
      <c r="M144" s="425">
        <f ca="1">IFERROR(__xludf.DUMMYFUNCTION("IMPORTRANGE(""https://docs.google.com/spreadsheets/d/1-uDff_7J0KD5mKrp0Vvzr7lt3OU09vwQwhkpOPPYv2Y/edit?usp=sharing"",""งบพรบ!BV87"")"),0)</f>
        <v>0</v>
      </c>
      <c r="N144" s="425">
        <f ca="1">IFERROR(__xludf.DUMMYFUNCTION("IMPORTRANGE(""https://docs.google.com/spreadsheets/d/1-uDff_7J0KD5mKrp0Vvzr7lt3OU09vwQwhkpOPPYv2Y/edit?usp=sharing"",""งบพรบ!BX87"")"),0)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hidden="1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hidden="1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IFERROR(__xludf.DUMMYFUNCTION("IMPORTRANGE(""https://docs.google.com/spreadsheets/d/1-uDff_7J0KD5mKrp0Vvzr7lt3OU09vwQwhkpOPPYv2Y/edit?usp=sharing"",""งบพรบ!BT87"")"),0)</f>
        <v>0</v>
      </c>
      <c r="M147" s="425">
        <f ca="1">IFERROR(__xludf.DUMMYFUNCTION("IMPORTRANGE(""https://docs.google.com/spreadsheets/d/1-uDff_7J0KD5mKrp0Vvzr7lt3OU09vwQwhkpOPPYv2Y/edit?usp=sharing"",""งบพรบ!BW87"")"),0)</f>
        <v>0</v>
      </c>
      <c r="N147" s="425">
        <f ca="1">IFERROR(__xludf.DUMMYFUNCTION("IMPORTRANGE(""https://docs.google.com/spreadsheets/d/1-uDff_7J0KD5mKrp0Vvzr7lt3OU09vwQwhkpOPPYv2Y/edit?usp=sharing"",""งบพรบ!BY87"")"),0)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hidden="1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hidden="1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hidden="1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IFERROR(__xludf.DUMMYFUNCTION("IMPORTRANGE(""https://docs.google.com/spreadsheets/d/1eHaY18a8A9IcSdp1K8H6x8fbOy06t2VsZHhMHf-1x7Y/edit?usp=sharing"",""แผน!U87"")"),0)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hidden="1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IFERROR(__xludf.DUMMYFUNCTION("IMPORTRANGE(""https://docs.google.com/spreadsheets/d/1eHaY18a8A9IcSdp1K8H6x8fbOy06t2VsZHhMHf-1x7Y/edit?usp=sharing"",""แผน!V87"")"),0)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hidden="1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IFERROR(__xludf.DUMMYFUNCTION("IMPORTRANGE(""https://docs.google.com/spreadsheets/d/1eHaY18a8A9IcSdp1K8H6x8fbOy06t2VsZHhMHf-1x7Y/edit?usp=sharing"",""แผน!W87"")"),0)</f>
        <v>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hidden="1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IFERROR(__xludf.DUMMYFUNCTION("IMPORTRANGE(""https://docs.google.com/spreadsheets/d/1eHaY18a8A9IcSdp1K8H6x8fbOy06t2VsZHhMHf-1x7Y/edit?usp=sharing"",""แผน!X87"")"),0)</f>
        <v>0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hidden="1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IFERROR(__xludf.DUMMYFUNCTION("IMPORTRANGE(""https://docs.google.com/spreadsheets/d/1eHaY18a8A9IcSdp1K8H6x8fbOy06t2VsZHhMHf-1x7Y/edit?usp=sharing"",""แผน!Y87"")"),0)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hidden="1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hidden="1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I169</f>
        <v>0</v>
      </c>
      <c r="J156" s="710">
        <f>J169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hidden="1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hidden="1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hidden="1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hidden="1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IFERROR(__xludf.DUMMYFUNCTION("IMPORTRANGE(""https://docs.google.com/spreadsheets/d/1-uDff_7J0KD5mKrp0Vvzr7lt3OU09vwQwhkpOPPYv2Y/edit?usp=sharing"",""งบพรบ!CA87"")"),0)</f>
        <v>0</v>
      </c>
      <c r="M162" s="425">
        <f ca="1">IFERROR(__xludf.DUMMYFUNCTION("IMPORTRANGE(""https://docs.google.com/spreadsheets/d/1-uDff_7J0KD5mKrp0Vvzr7lt3OU09vwQwhkpOPPYv2Y/edit?usp=sharing"",""งบพรบ!CF87"")"),0)</f>
        <v>0</v>
      </c>
      <c r="N162" s="425">
        <f ca="1">IFERROR(__xludf.DUMMYFUNCTION("IMPORTRANGE(""https://docs.google.com/spreadsheets/d/1-uDff_7J0KD5mKrp0Vvzr7lt3OU09vwQwhkpOPPYv2Y/edit?usp=sharing"",""งบพรบ!CH87"")"),0)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hidden="1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hidden="1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IFERROR(__xludf.DUMMYFUNCTION("IMPORTRANGE(""https://docs.google.com/spreadsheets/d/1-uDff_7J0KD5mKrp0Vvzr7lt3OU09vwQwhkpOPPYv2Y/edit?usp=sharing"",""งบพรบ!CD87"")"),0)</f>
        <v>0</v>
      </c>
      <c r="M165" s="425">
        <f ca="1">IFERROR(__xludf.DUMMYFUNCTION("IMPORTRANGE(""https://docs.google.com/spreadsheets/d/1-uDff_7J0KD5mKrp0Vvzr7lt3OU09vwQwhkpOPPYv2Y/edit?usp=sharing"",""งบพรบ!CG87"")"),0)</f>
        <v>0</v>
      </c>
      <c r="N165" s="425">
        <f ca="1">IFERROR(__xludf.DUMMYFUNCTION("IMPORTRANGE(""https://docs.google.com/spreadsheets/d/1-uDff_7J0KD5mKrp0Vvzr7lt3OU09vwQwhkpOPPYv2Y/edit?usp=sharing"",""งบพรบ!CI87"")"),0)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hidden="1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hidden="1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IFERROR(__xludf.DUMMYFUNCTION("IMPORTRANGE(""https://docs.google.com/spreadsheets/d/1eHaY18a8A9IcSdp1K8H6x8fbOy06t2VsZHhMHf-1x7Y/edit?usp=sharing"",""แผน!Z87"")"),0)</f>
        <v>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IFERROR(__xludf.DUMMYFUNCTION("IMPORTRANGE(""https://docs.google.com/spreadsheets/d/1eHaY18a8A9IcSdp1K8H6x8fbOy06t2VsZHhMHf-1x7Y/edit?usp=sharing"",""แผน!Z87"")"),0)</f>
        <v>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IFERROR(__xludf.DUMMYFUNCTION("IMPORTRANGE(""https://docs.google.com/spreadsheets/d/1eHaY18a8A9IcSdp1K8H6x8fbOy06t2VsZHhMHf-1x7Y/edit?usp=sharing"",""แผน!Z87"")"),0)</f>
        <v>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7</v>
      </c>
      <c r="K172" s="689">
        <f ca="1">IF(I172&gt;0,J172*100/I172,0)</f>
        <v>100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19590</v>
      </c>
      <c r="O173" s="550">
        <f ca="1">IF(L173&gt;0,N173*100/L173,0)</f>
        <v>100</v>
      </c>
      <c r="P173" s="550">
        <f ca="1">IF(M173&gt;0,N173*100/M173,0)</f>
        <v>100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19590</v>
      </c>
      <c r="O175" s="425">
        <f ca="1">IF(L175&gt;0,N175*100/L175,0)</f>
        <v>100</v>
      </c>
      <c r="P175" s="425">
        <f ca="1">IF(M175&gt;0,N175*100/M175,0)</f>
        <v>100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19590</v>
      </c>
      <c r="O176" s="425">
        <f ca="1">IF(L176&gt;0,N176*100/L176,0)</f>
        <v>100</v>
      </c>
      <c r="P176" s="425">
        <f ca="1">IF(M176&gt;0,N176*100/M176,0)</f>
        <v>100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IFERROR(__xludf.DUMMYFUNCTION("IMPORTRANGE(""https://docs.google.com/spreadsheets/d/1-uDff_7J0KD5mKrp0Vvzr7lt3OU09vwQwhkpOPPYv2Y/edit?usp=sharing"",""งบพรบ!CK87"")"),19590)</f>
        <v>19590</v>
      </c>
      <c r="M178" s="425">
        <f ca="1">IFERROR(__xludf.DUMMYFUNCTION("IMPORTRANGE(""https://docs.google.com/spreadsheets/d/1-uDff_7J0KD5mKrp0Vvzr7lt3OU09vwQwhkpOPPYv2Y/edit?usp=sharing"",""งบพรบ!CP87"")"),19590)</f>
        <v>19590</v>
      </c>
      <c r="N178" s="425">
        <f ca="1">IFERROR(__xludf.DUMMYFUNCTION("IMPORTRANGE(""https://docs.google.com/spreadsheets/d/1-uDff_7J0KD5mKrp0Vvzr7lt3OU09vwQwhkpOPPYv2Y/edit?usp=sharing"",""งบพรบ!CR87"")"),19590)</f>
        <v>19590</v>
      </c>
      <c r="O178" s="425">
        <f ca="1">IF(L178&gt;0,N178*100/L178,0)</f>
        <v>100</v>
      </c>
      <c r="P178" s="425">
        <f ca="1">IF(M178&gt;0,N178*100/M178,0)</f>
        <v>100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IFERROR(__xludf.DUMMYFUNCTION("IMPORTRANGE(""https://docs.google.com/spreadsheets/d/1-uDff_7J0KD5mKrp0Vvzr7lt3OU09vwQwhkpOPPYv2Y/edit?usp=sharing"",""งบพรบ!CN87"")"),0)</f>
        <v>0</v>
      </c>
      <c r="M181" s="425">
        <f ca="1">IFERROR(__xludf.DUMMYFUNCTION("IMPORTRANGE(""https://docs.google.com/spreadsheets/d/1-uDff_7J0KD5mKrp0Vvzr7lt3OU09vwQwhkpOPPYv2Y/edit?usp=sharing"",""งบพรบ!CQ87"")"),0)</f>
        <v>0</v>
      </c>
      <c r="N181" s="425">
        <f ca="1">IFERROR(__xludf.DUMMYFUNCTION("IMPORTRANGE(""https://docs.google.com/spreadsheets/d/1-uDff_7J0KD5mKrp0Vvzr7lt3OU09vwQwhkpOPPYv2Y/edit?usp=sharing"",""งบพรบ!CS87"")"),0)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IFERROR(__xludf.DUMMYFUNCTION("IMPORTRANGE(""https://docs.google.com/spreadsheets/d/1eHaY18a8A9IcSdp1K8H6x8fbOy06t2VsZHhMHf-1x7Y/edit?usp=sharing"",""แผน!AA87"")"),7)</f>
        <v>7</v>
      </c>
      <c r="J183" s="568">
        <v>7</v>
      </c>
      <c r="K183" s="425">
        <f ca="1">IF(I183&gt;0,J183*100/I183,0)</f>
        <v>100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269400</v>
      </c>
      <c r="M186" s="550">
        <f ca="1">M187+M188</f>
        <v>189500</v>
      </c>
      <c r="N186" s="550">
        <f ca="1">N187+N188</f>
        <v>29690</v>
      </c>
      <c r="O186" s="550">
        <f ca="1">IF(L186&gt;0,N186*100/L186,0)</f>
        <v>11.020786933927246</v>
      </c>
      <c r="P186" s="550">
        <f ca="1">IF(M186&gt;0,N186*100/M186,0)</f>
        <v>15.66754617414248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269400</v>
      </c>
      <c r="M188" s="425">
        <f ca="1">M191+M194</f>
        <v>189500</v>
      </c>
      <c r="N188" s="425">
        <f ca="1">N191+N194</f>
        <v>29690</v>
      </c>
      <c r="O188" s="425">
        <f ca="1">IF(L188&gt;0,N188*100/L188,0)</f>
        <v>11.020786933927246</v>
      </c>
      <c r="P188" s="425">
        <f ca="1">IF(M188&gt;0,N188*100/M188,0)</f>
        <v>15.66754617414248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269400</v>
      </c>
      <c r="M189" s="425">
        <f ca="1">M190+M191</f>
        <v>189500</v>
      </c>
      <c r="N189" s="425">
        <f ca="1">N190+N191</f>
        <v>29690</v>
      </c>
      <c r="O189" s="425">
        <f ca="1">IF(L189&gt;0,N189*100/L189,0)</f>
        <v>11.020786933927246</v>
      </c>
      <c r="P189" s="425">
        <f ca="1">IF(M189&gt;0,N189*100/M189,0)</f>
        <v>15.66754617414248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IFERROR(__xludf.DUMMYFUNCTION("IMPORTRANGE(""https://docs.google.com/spreadsheets/d/1-uDff_7J0KD5mKrp0Vvzr7lt3OU09vwQwhkpOPPYv2Y/edit?usp=sharing"",""งบพรบ!CU87"")"),269400)</f>
        <v>269400</v>
      </c>
      <c r="M191" s="425">
        <f ca="1">IFERROR(__xludf.DUMMYFUNCTION("IMPORTRANGE(""https://docs.google.com/spreadsheets/d/1-uDff_7J0KD5mKrp0Vvzr7lt3OU09vwQwhkpOPPYv2Y/edit?usp=sharing"",""งบพรบ!CZ87"")"),189500)</f>
        <v>189500</v>
      </c>
      <c r="N191" s="425">
        <f ca="1">IFERROR(__xludf.DUMMYFUNCTION("IMPORTRANGE(""https://docs.google.com/spreadsheets/d/1-uDff_7J0KD5mKrp0Vvzr7lt3OU09vwQwhkpOPPYv2Y/edit?usp=sharing"",""งบพรบ!DB87"")"),29690)</f>
        <v>29690</v>
      </c>
      <c r="O191" s="425">
        <f ca="1">IF(L191&gt;0,N191*100/L191,0)</f>
        <v>11.020786933927246</v>
      </c>
      <c r="P191" s="425">
        <f ca="1">IF(M191&gt;0,N191*100/M191,0)</f>
        <v>15.66754617414248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IFERROR(__xludf.DUMMYFUNCTION("IMPORTRANGE(""https://docs.google.com/spreadsheets/d/1-uDff_7J0KD5mKrp0Vvzr7lt3OU09vwQwhkpOPPYv2Y/edit?usp=sharing"",""งบพรบ!CX87"")"),0)</f>
        <v>0</v>
      </c>
      <c r="M194" s="425">
        <f ca="1">IFERROR(__xludf.DUMMYFUNCTION("IMPORTRANGE(""https://docs.google.com/spreadsheets/d/1-uDff_7J0KD5mKrp0Vvzr7lt3OU09vwQwhkpOPPYv2Y/edit?usp=sharing"",""งบพรบ!DA87"")"),0)</f>
        <v>0</v>
      </c>
      <c r="N194" s="425">
        <f ca="1">IFERROR(__xludf.DUMMYFUNCTION("IMPORTRANGE(""https://docs.google.com/spreadsheets/d/1-uDff_7J0KD5mKrp0Vvzr7lt3OU09vwQwhkpOPPYv2Y/edit?usp=sharing"",""งบพรบ!DC87"")"),0)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1</v>
      </c>
      <c r="K195" s="439">
        <f ca="1">IF(I195&gt;0,J195*100/I195,0)</f>
        <v>25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IFERROR(__xludf.DUMMYFUNCTION("IMPORTRANGE(""https://docs.google.com/spreadsheets/d/1eHaY18a8A9IcSdp1K8H6x8fbOy06t2VsZHhMHf-1x7Y/edit?usp=sharing"",""แผน!AB87"")"),6000)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IFERROR(__xludf.DUMMYFUNCTION("IMPORTRANGE(""https://docs.google.com/spreadsheets/d/1eHaY18a8A9IcSdp1K8H6x8fbOy06t2VsZHhMHf-1x7Y/edit?usp=sharing"",""แผน!AE87"")"),4)</f>
        <v>4</v>
      </c>
      <c r="J198" s="568">
        <v>1</v>
      </c>
      <c r="K198" s="425">
        <f ca="1">IF(I198&gt;0,J198*100/I198,0)</f>
        <v>25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22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22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1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13000</v>
      </c>
      <c r="M203" s="428"/>
      <c r="N203" s="550">
        <f>N204+N205+N206+N207</f>
        <v>0</v>
      </c>
      <c r="O203" s="550">
        <f ca="1">IF(L203&gt;0,N203*100/L203,0)</f>
        <v>0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IFERROR(__xludf.DUMMYFUNCTION("IMPORTRANGE(""https://docs.google.com/spreadsheets/d/1eHaY18a8A9IcSdp1K8H6x8fbOy06t2VsZHhMHf-1x7Y/edit?usp=sharing"",""แผน!AG87"")"),1000)</f>
        <v>1000</v>
      </c>
      <c r="M204" s="428"/>
      <c r="N204" s="683">
        <v>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IFERROR(__xludf.DUMMYFUNCTION("IMPORTRANGE(""https://docs.google.com/spreadsheets/d/1eHaY18a8A9IcSdp1K8H6x8fbOy06t2VsZHhMHf-1x7Y/edit?usp=sharing"",""แผน!AH87"")"),0)</f>
        <v>0</v>
      </c>
      <c r="M205" s="428"/>
      <c r="N205" s="683">
        <v>0</v>
      </c>
      <c r="O205" s="527"/>
      <c r="P205" s="428"/>
    </row>
    <row r="206" spans="1:16" ht="21" customHeight="1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IFERROR(__xludf.DUMMYFUNCTION("IMPORTRANGE(""https://docs.google.com/spreadsheets/d/1eHaY18a8A9IcSdp1K8H6x8fbOy06t2VsZHhMHf-1x7Y/edit?usp=sharing"",""แผน!AI87"")"),8000)</f>
        <v>8000</v>
      </c>
      <c r="M206" s="428"/>
      <c r="N206" s="683">
        <v>0</v>
      </c>
      <c r="O206" s="527"/>
      <c r="P206" s="428"/>
    </row>
    <row r="207" spans="1:16" ht="18.75" x14ac:dyDescent="0.25">
      <c r="A207" s="902"/>
      <c r="B207" s="901"/>
      <c r="C207" s="900"/>
      <c r="D207" s="293" t="s">
        <v>83</v>
      </c>
      <c r="E207" s="900"/>
      <c r="F207" s="900"/>
      <c r="G207" s="899"/>
      <c r="H207" s="898" t="s">
        <v>12</v>
      </c>
      <c r="I207" s="897"/>
      <c r="J207" s="897"/>
      <c r="K207" s="893"/>
      <c r="L207" s="896">
        <f ca="1">IFERROR(__xludf.DUMMYFUNCTION("IMPORTRANGE(""https://docs.google.com/spreadsheets/d/1eHaY18a8A9IcSdp1K8H6x8fbOy06t2VsZHhMHf-1x7Y/edit?usp=sharing"",""แผน!AJ87"")"),4000)</f>
        <v>4000</v>
      </c>
      <c r="M207" s="893"/>
      <c r="N207" s="895">
        <v>0</v>
      </c>
      <c r="O207" s="894"/>
      <c r="P207" s="893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IFERROR(__xludf.DUMMYFUNCTION("IMPORTRANGE(""https://docs.google.com/spreadsheets/d/1eHaY18a8A9IcSdp1K8H6x8fbOy06t2VsZHhMHf-1x7Y/edit?usp=sharing"",""แผน!AK87"")"),1)</f>
        <v>1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IFERROR(__xludf.DUMMYFUNCTION("IMPORTRANGE(""https://docs.google.com/spreadsheets/d/1eHaY18a8A9IcSdp1K8H6x8fbOy06t2VsZHhMHf-1x7Y/edit?usp=sharing"",""แผน!JX87"")"),1)</f>
        <v>1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IFERROR(__xludf.DUMMYFUNCTION("IMPORTRANGE(""https://docs.google.com/spreadsheets/d/1eHaY18a8A9IcSdp1K8H6x8fbOy06t2VsZHhMHf-1x7Y/edit?usp=sharing"",""แผน!JY87"")"),0)</f>
        <v>0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hidden="1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hidden="1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IFERROR(__xludf.DUMMYFUNCTION("IMPORTRANGE(""https://docs.google.com/spreadsheets/d/1eHaY18a8A9IcSdp1K8H6x8fbOy06t2VsZHhMHf-1x7Y/edit?usp=sharing"",""แผน!AM87"")"),0)</f>
        <v>0</v>
      </c>
      <c r="M215" s="428"/>
      <c r="N215" s="683">
        <v>0</v>
      </c>
      <c r="O215" s="527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IFERROR(__xludf.DUMMYFUNCTION("IMPORTRANGE(""https://docs.google.com/spreadsheets/d/1eHaY18a8A9IcSdp1K8H6x8fbOy06t2VsZHhMHf-1x7Y/edit?usp=sharing"",""แผน!AN87"")"),0)</f>
        <v>0</v>
      </c>
      <c r="M216" s="428"/>
      <c r="N216" s="683">
        <v>0</v>
      </c>
      <c r="O216" s="527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IFERROR(__xludf.DUMMYFUNCTION("IMPORTRANGE(""https://docs.google.com/spreadsheets/d/1eHaY18a8A9IcSdp1K8H6x8fbOy06t2VsZHhMHf-1x7Y/edit?usp=sharing"",""แผน!AO87"")"),0)</f>
        <v>0</v>
      </c>
      <c r="M217" s="428"/>
      <c r="N217" s="683">
        <v>0</v>
      </c>
      <c r="O217" s="527"/>
      <c r="P217" s="428"/>
    </row>
    <row r="218" spans="1:16" ht="19.5" hidden="1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hidden="1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IFERROR(__xludf.DUMMYFUNCTION("IMPORTRANGE(""https://docs.google.com/spreadsheets/d/1eHaY18a8A9IcSdp1K8H6x8fbOy06t2VsZHhMHf-1x7Y/edit?usp=sharing"",""แผน!AP87"")"),0)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IFERROR(__xludf.DUMMYFUNCTION("IMPORTRANGE(""https://docs.google.com/spreadsheets/d/1eHaY18a8A9IcSdp1K8H6x8fbOy06t2VsZHhMHf-1x7Y/edit?usp=sharing"",""แผน!AP87"")"),0)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6400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IFERROR(__xludf.DUMMYFUNCTION("IMPORTRANGE(""https://docs.google.com/spreadsheets/d/1eHaY18a8A9IcSdp1K8H6x8fbOy06t2VsZHhMHf-1x7Y/edit?usp=sharing"",""แผน!AR87"")"),3000)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IFERROR(__xludf.DUMMYFUNCTION("IMPORTRANGE(""https://docs.google.com/spreadsheets/d/1eHaY18a8A9IcSdp1K8H6x8fbOy06t2VsZHhMHf-1x7Y/edit?usp=sharing"",""แผน!AS87"")"),1500)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IFERROR(__xludf.DUMMYFUNCTION("IMPORTRANGE(""https://docs.google.com/spreadsheets/d/1eHaY18a8A9IcSdp1K8H6x8fbOy06t2VsZHhMHf-1x7Y/edit?usp=sharing"",""แผน!AT87"")"),0)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IFERROR(__xludf.DUMMYFUNCTION("IMPORTRANGE(""https://docs.google.com/spreadsheets/d/1eHaY18a8A9IcSdp1K8H6x8fbOy06t2VsZHhMHf-1x7Y/edit?usp=sharing"",""แผน!AV87"")"),6400)</f>
        <v>6400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IFERROR(__xludf.DUMMYFUNCTION("IMPORTRANGE(""https://docs.google.com/spreadsheets/d/1eHaY18a8A9IcSdp1K8H6x8fbOy06t2VsZHhMHf-1x7Y/edit?usp=sharing"",""แผน!AV87"")"),6400)</f>
        <v>6400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IFERROR(__xludf.DUMMYFUNCTION("IMPORTRANGE(""https://docs.google.com/spreadsheets/d/1eHaY18a8A9IcSdp1K8H6x8fbOy06t2VsZHhMHf-1x7Y/edit?usp=sharing"",""แผน!AU87"")"),0)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6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38"/>
      <c r="M231" s="538"/>
      <c r="N231" s="538"/>
      <c r="O231" s="538"/>
      <c r="P231" s="538"/>
    </row>
    <row r="232" spans="1:16" ht="19.5" hidden="1" x14ac:dyDescent="0.3">
      <c r="A232" s="543"/>
      <c r="B232" s="418"/>
      <c r="C232" s="537" t="s">
        <v>16</v>
      </c>
      <c r="D232" s="552" t="s">
        <v>17</v>
      </c>
      <c r="E232" s="418"/>
      <c r="F232" s="418"/>
      <c r="G232" s="422"/>
      <c r="H232" s="684" t="s">
        <v>12</v>
      </c>
      <c r="I232" s="541"/>
      <c r="J232" s="541"/>
      <c r="K232" s="527"/>
      <c r="L232" s="550">
        <f ca="1">L243+L254</f>
        <v>0</v>
      </c>
      <c r="M232" s="428"/>
      <c r="N232" s="550">
        <f>N243+N254</f>
        <v>0</v>
      </c>
      <c r="O232" s="428"/>
      <c r="P232" s="428"/>
    </row>
    <row r="233" spans="1:16" ht="18.75" hidden="1" x14ac:dyDescent="0.25">
      <c r="A233" s="543"/>
      <c r="B233" s="419"/>
      <c r="C233" s="418"/>
      <c r="D233" s="293" t="s">
        <v>80</v>
      </c>
      <c r="E233" s="418"/>
      <c r="F233" s="418"/>
      <c r="G233" s="422"/>
      <c r="H233" s="548" t="s">
        <v>12</v>
      </c>
      <c r="I233" s="541"/>
      <c r="J233" s="541"/>
      <c r="K233" s="527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48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48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48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1"/>
      <c r="B237" s="430"/>
      <c r="C237" s="682" t="s">
        <v>16</v>
      </c>
      <c r="D237" s="536" t="s">
        <v>36</v>
      </c>
      <c r="E237" s="535"/>
      <c r="F237" s="535"/>
      <c r="G237" s="534"/>
      <c r="H237" s="530"/>
      <c r="I237" s="541"/>
      <c r="J237" s="427"/>
      <c r="K237" s="428"/>
      <c r="L237" s="428"/>
      <c r="M237" s="428"/>
      <c r="N237" s="428"/>
      <c r="O237" s="527"/>
      <c r="P237" s="527"/>
    </row>
    <row r="238" spans="1:16" ht="18.75" hidden="1" x14ac:dyDescent="0.25">
      <c r="A238" s="531"/>
      <c r="B238" s="430"/>
      <c r="C238" s="430"/>
      <c r="D238" s="421" t="s">
        <v>102</v>
      </c>
      <c r="E238" s="420"/>
      <c r="F238" s="420"/>
      <c r="G238" s="530"/>
      <c r="H238" s="529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1"/>
      <c r="B239" s="430"/>
      <c r="C239" s="430"/>
      <c r="D239" s="892" t="s">
        <v>41</v>
      </c>
      <c r="E239" s="420"/>
      <c r="F239" s="420"/>
      <c r="G239" s="530"/>
      <c r="H239" s="530"/>
      <c r="I239" s="427"/>
      <c r="J239" s="427"/>
      <c r="K239" s="428"/>
      <c r="L239" s="428"/>
      <c r="M239" s="428"/>
      <c r="N239" s="428"/>
      <c r="O239" s="527"/>
      <c r="P239" s="527"/>
    </row>
    <row r="240" spans="1:16" ht="18.75" hidden="1" x14ac:dyDescent="0.25">
      <c r="A240" s="531"/>
      <c r="B240" s="430"/>
      <c r="C240" s="430"/>
      <c r="D240" s="430"/>
      <c r="E240" s="532" t="s">
        <v>103</v>
      </c>
      <c r="F240" s="420"/>
      <c r="G240" s="530"/>
      <c r="H240" s="529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1"/>
      <c r="B241" s="430"/>
      <c r="C241" s="430"/>
      <c r="D241" s="430"/>
      <c r="E241" s="532" t="s">
        <v>104</v>
      </c>
      <c r="F241" s="420"/>
      <c r="G241" s="530"/>
      <c r="H241" s="529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IFERROR(__xludf.DUMMYFUNCTION("IMPORTRANGE(""https://docs.google.com/spreadsheets/d/1eHaY18a8A9IcSdp1K8H6x8fbOy06t2VsZHhMHf-1x7Y/edit?usp=sharing"",""แผน!AX87"")"),0)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IFERROR(__xludf.DUMMYFUNCTION("IMPORTRANGE(""https://docs.google.com/spreadsheets/d/1eHaY18a8A9IcSdp1K8H6x8fbOy06t2VsZHhMHf-1x7Y/edit?usp=sharing"",""แผน!AY87"")"),0)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IFERROR(__xludf.DUMMYFUNCTION("IMPORTRANGE(""https://docs.google.com/spreadsheets/d/1eHaY18a8A9IcSdp1K8H6x8fbOy06t2VsZHhMHf-1x7Y/edit?usp=sharing"",""แผน!AZ87"")"),0)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IFERROR(__xludf.DUMMYFUNCTION("IMPORTRANGE(""https://docs.google.com/spreadsheets/d/1eHaY18a8A9IcSdp1K8H6x8fbOy06t2VsZHhMHf-1x7Y/edit?usp=sharing"",""แผน!BA87"")"),0)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IFERROR(__xludf.DUMMYFUNCTION("IMPORTRANGE(""https://docs.google.com/spreadsheets/d/1eHaY18a8A9IcSdp1K8H6x8fbOy06t2VsZHhMHf-1x7Y/edit?usp=sharing"",""แผน!BG87"")"),0)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IFERROR(__xludf.DUMMYFUNCTION("IMPORTRANGE(""https://docs.google.com/spreadsheets/d/1eHaY18a8A9IcSdp1K8H6x8fbOy06t2VsZHhMHf-1x7Y/edit?usp=sharing"",""แผน!BB87"")"),0)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IFERROR(__xludf.DUMMYFUNCTION("IMPORTRANGE(""https://docs.google.com/spreadsheets/d/1eHaY18a8A9IcSdp1K8H6x8fbOy06t2VsZHhMHf-1x7Y/edit?usp=sharing"",""แผน!BC87"")"),0)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IFERROR(__xludf.DUMMYFUNCTION("IMPORTRANGE(""https://docs.google.com/spreadsheets/d/1eHaY18a8A9IcSdp1K8H6x8fbOy06t2VsZHhMHf-1x7Y/edit?usp=sharing"",""แผน!BD87"")"),0)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IFERROR(__xludf.DUMMYFUNCTION("IMPORTRANGE(""https://docs.google.com/spreadsheets/d/1eHaY18a8A9IcSdp1K8H6x8fbOy06t2VsZHhMHf-1x7Y/edit?usp=sharing"",""แผน!BE87"")"),0)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IFERROR(__xludf.DUMMYFUNCTION("IMPORTRANGE(""https://docs.google.com/spreadsheets/d/1eHaY18a8A9IcSdp1K8H6x8fbOy06t2VsZHhMHf-1x7Y/edit?usp=sharing"",""แผน!BH87"")"),0)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IFERROR(__xludf.DUMMYFUNCTION("IMPORTRANGE(""https://docs.google.com/spreadsheets/d/1-uDff_7J0KD5mKrp0Vvzr7lt3OU09vwQwhkpOPPYv2Y/edit?usp=sharing"",""งบพรบ!DE87"")"),0)</f>
        <v>0</v>
      </c>
      <c r="M271" s="544">
        <f ca="1">IFERROR(__xludf.DUMMYFUNCTION("IMPORTRANGE(""https://docs.google.com/spreadsheets/d/1-uDff_7J0KD5mKrp0Vvzr7lt3OU09vwQwhkpOPPYv2Y/edit?usp=sharing"",""งบพรบ!DJ87"")"),0)</f>
        <v>0</v>
      </c>
      <c r="N271" s="544">
        <f ca="1">IFERROR(__xludf.DUMMYFUNCTION("IMPORTRANGE(""https://docs.google.com/spreadsheets/d/1-uDff_7J0KD5mKrp0Vvzr7lt3OU09vwQwhkpOPPYv2Y/edit?usp=sharing"",""งบพรบ!DL87"")"),0)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IFERROR(__xludf.DUMMYFUNCTION("IMPORTRANGE(""https://docs.google.com/spreadsheets/d/1-uDff_7J0KD5mKrp0Vvzr7lt3OU09vwQwhkpOPPYv2Y/edit?usp=sharing"",""งบพรบ!DH87"")"),0)</f>
        <v>0</v>
      </c>
      <c r="M274" s="544">
        <f ca="1">IFERROR(__xludf.DUMMYFUNCTION("IMPORTRANGE(""https://docs.google.com/spreadsheets/d/1-uDff_7J0KD5mKrp0Vvzr7lt3OU09vwQwhkpOPPYv2Y/edit?usp=sharing"",""งบพรบ!DK87"")"),0)</f>
        <v>0</v>
      </c>
      <c r="N274" s="544">
        <f ca="1">IFERROR(__xludf.DUMMYFUNCTION("IMPORTRANGE(""https://docs.google.com/spreadsheets/d/1-uDff_7J0KD5mKrp0Vvzr7lt3OU09vwQwhkpOPPYv2Y/edit?usp=sharing"",""งบพรบ!DM87"")"),0)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hidden="1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hidden="1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hidden="1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hidden="1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hidden="1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0</v>
      </c>
      <c r="M282" s="550">
        <f ca="1">M283+M284</f>
        <v>0</v>
      </c>
      <c r="N282" s="550">
        <f ca="1">N283+N284</f>
        <v>0</v>
      </c>
      <c r="O282" s="550">
        <f ca="1">IF(L282&gt;0,N282*100/L282,0)</f>
        <v>0</v>
      </c>
      <c r="P282" s="550">
        <f ca="1">IF(M282&gt;0,N282*100/M282,0)</f>
        <v>0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hidden="1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0</v>
      </c>
      <c r="M284" s="425">
        <f ca="1">M287+M290</f>
        <v>0</v>
      </c>
      <c r="N284" s="425">
        <f ca="1">N287+N290</f>
        <v>0</v>
      </c>
      <c r="O284" s="425">
        <f ca="1">IF(L284&gt;0,N284*100/L284,0)</f>
        <v>0</v>
      </c>
      <c r="P284" s="425">
        <f ca="1">IF(M284&gt;0,N284*100/M284,0)</f>
        <v>0</v>
      </c>
    </row>
    <row r="285" spans="1:16" ht="18.75" hidden="1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0</v>
      </c>
      <c r="M285" s="425">
        <f ca="1">M286+M287</f>
        <v>0</v>
      </c>
      <c r="N285" s="425">
        <f ca="1">N286+N287</f>
        <v>0</v>
      </c>
      <c r="O285" s="425">
        <f ca="1">IF(L285&gt;0,N285*100/L285,0)</f>
        <v>0</v>
      </c>
      <c r="P285" s="425">
        <f ca="1">IF(M285&gt;0,N285*100/M285,0)</f>
        <v>0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hidden="1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IFERROR(__xludf.DUMMYFUNCTION("IMPORTRANGE(""https://docs.google.com/spreadsheets/d/1-uDff_7J0KD5mKrp0Vvzr7lt3OU09vwQwhkpOPPYv2Y/edit?usp=sharing"",""งบพรบ!DO87"")"),0)</f>
        <v>0</v>
      </c>
      <c r="M287" s="425">
        <f ca="1">IFERROR(__xludf.DUMMYFUNCTION("IMPORTRANGE(""https://docs.google.com/spreadsheets/d/1-uDff_7J0KD5mKrp0Vvzr7lt3OU09vwQwhkpOPPYv2Y/edit?usp=sharing"",""งบพรบ!DT87"")"),0)</f>
        <v>0</v>
      </c>
      <c r="N287" s="425">
        <f ca="1">IFERROR(__xludf.DUMMYFUNCTION("IMPORTRANGE(""https://docs.google.com/spreadsheets/d/1-uDff_7J0KD5mKrp0Vvzr7lt3OU09vwQwhkpOPPYv2Y/edit?usp=sharing"",""งบพรบ!DV87"")"),0)</f>
        <v>0</v>
      </c>
      <c r="O287" s="425">
        <f ca="1">IF(L287&gt;0,N287*100/L287,0)</f>
        <v>0</v>
      </c>
      <c r="P287" s="425">
        <f ca="1">IF(M287&gt;0,N287*100/M287,0)</f>
        <v>0</v>
      </c>
    </row>
    <row r="288" spans="1:16" ht="18.75" hidden="1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hidden="1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IFERROR(__xludf.DUMMYFUNCTION("IMPORTRANGE(""https://docs.google.com/spreadsheets/d/1-uDff_7J0KD5mKrp0Vvzr7lt3OU09vwQwhkpOPPYv2Y/edit?usp=sharing"",""งบพรบ!DR87"")"),0)</f>
        <v>0</v>
      </c>
      <c r="M290" s="425">
        <f ca="1">IFERROR(__xludf.DUMMYFUNCTION("IMPORTRANGE(""https://docs.google.com/spreadsheets/d/1-uDff_7J0KD5mKrp0Vvzr7lt3OU09vwQwhkpOPPYv2Y/edit?usp=sharing"",""งบพรบ!DU87"")"),0)</f>
        <v>0</v>
      </c>
      <c r="N290" s="425">
        <f ca="1">IFERROR(__xludf.DUMMYFUNCTION("IMPORTRANGE(""https://docs.google.com/spreadsheets/d/1-uDff_7J0KD5mKrp0Vvzr7lt3OU09vwQwhkpOPPYv2Y/edit?usp=sharing"",""งบพรบ!DW87"")"),0)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hidden="1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hidden="1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IFERROR(__xludf.DUMMYFUNCTION("IMPORTRANGE(""https://docs.google.com/spreadsheets/d/1eHaY18a8A9IcSdp1K8H6x8fbOy06t2VsZHhMHf-1x7Y/edit?usp=sharing"",""แผน!EE87"")"),0)</f>
        <v>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hidden="1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IFERROR(__xludf.DUMMYFUNCTION("IMPORTRANGE(""https://docs.google.com/spreadsheets/d/1eHaY18a8A9IcSdp1K8H6x8fbOy06t2VsZHhMHf-1x7Y/edit?usp=sharing"",""แผน!ED87"")"),0)</f>
        <v>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hidden="1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hidden="1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IFERROR(__xludf.DUMMYFUNCTION("IMPORTRANGE(""https://docs.google.com/spreadsheets/d/1eHaY18a8A9IcSdp1K8H6x8fbOy06t2VsZHhMHf-1x7Y/edit?usp=sharing"",""แผน!ED87"")"),0)</f>
        <v>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hidden="1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IFERROR(__xludf.DUMMYFUNCTION("IMPORTRANGE(""https://docs.google.com/spreadsheets/d/1eHaY18a8A9IcSdp1K8H6x8fbOy06t2VsZHhMHf-1x7Y/edit?usp=sharing"",""แผน!ED87"")"),0)</f>
        <v>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hidden="1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hidden="1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hidden="1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hidden="1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0</v>
      </c>
      <c r="M303" s="550">
        <f ca="1">M304+M305</f>
        <v>0</v>
      </c>
      <c r="N303" s="550">
        <f ca="1">N304+N305</f>
        <v>0</v>
      </c>
      <c r="O303" s="550">
        <f ca="1">IF(L303&gt;0,N303*100/L303,0)</f>
        <v>0</v>
      </c>
      <c r="P303" s="550">
        <f ca="1">IF(M303&gt;0,N303*100/M303,0)</f>
        <v>0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hidden="1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0</v>
      </c>
      <c r="M305" s="425">
        <f ca="1">M308+M311</f>
        <v>0</v>
      </c>
      <c r="N305" s="425">
        <f ca="1">N308+N311</f>
        <v>0</v>
      </c>
      <c r="O305" s="425">
        <f ca="1">IF(L305&gt;0,N305*100/L305,0)</f>
        <v>0</v>
      </c>
      <c r="P305" s="425">
        <f ca="1">IF(M305&gt;0,N305*100/M305,0)</f>
        <v>0</v>
      </c>
    </row>
    <row r="306" spans="1:16" ht="18.75" hidden="1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0</v>
      </c>
      <c r="M306" s="425">
        <f ca="1">M307+M308</f>
        <v>0</v>
      </c>
      <c r="N306" s="425">
        <f ca="1">N307+N308</f>
        <v>0</v>
      </c>
      <c r="O306" s="425">
        <f ca="1">IF(L306&gt;0,N306*100/L306,0)</f>
        <v>0</v>
      </c>
      <c r="P306" s="425">
        <f ca="1">IF(M306&gt;0,N306*100/M306,0)</f>
        <v>0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hidden="1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IFERROR(__xludf.DUMMYFUNCTION("IMPORTRANGE(""https://docs.google.com/spreadsheets/d/1-uDff_7J0KD5mKrp0Vvzr7lt3OU09vwQwhkpOPPYv2Y/edit?usp=sharing"",""งบพรบ!DY87"")"),0)</f>
        <v>0</v>
      </c>
      <c r="M308" s="425">
        <f ca="1">IFERROR(__xludf.DUMMYFUNCTION("IMPORTRANGE(""https://docs.google.com/spreadsheets/d/1-uDff_7J0KD5mKrp0Vvzr7lt3OU09vwQwhkpOPPYv2Y/edit?usp=sharing"",""งบพรบ!ED87"")"),0)</f>
        <v>0</v>
      </c>
      <c r="N308" s="425">
        <f ca="1">IFERROR(__xludf.DUMMYFUNCTION("IMPORTRANGE(""https://docs.google.com/spreadsheets/d/1-uDff_7J0KD5mKrp0Vvzr7lt3OU09vwQwhkpOPPYv2Y/edit?usp=sharing"",""งบพรบ!EF87"")"),0)</f>
        <v>0</v>
      </c>
      <c r="O308" s="425">
        <f ca="1">IF(L308&gt;0,N308*100/L308,0)</f>
        <v>0</v>
      </c>
      <c r="P308" s="425">
        <f ca="1">IF(M308&gt;0,N308*100/M308,0)</f>
        <v>0</v>
      </c>
    </row>
    <row r="309" spans="1:16" ht="18.75" hidden="1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hidden="1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IFERROR(__xludf.DUMMYFUNCTION("IMPORTRANGE(""https://docs.google.com/spreadsheets/d/1-uDff_7J0KD5mKrp0Vvzr7lt3OU09vwQwhkpOPPYv2Y/edit?usp=sharing"",""งบพรบ!EB87"")"),0)</f>
        <v>0</v>
      </c>
      <c r="M311" s="425">
        <f ca="1">IFERROR(__xludf.DUMMYFUNCTION("IMPORTRANGE(""https://docs.google.com/spreadsheets/d/1-uDff_7J0KD5mKrp0Vvzr7lt3OU09vwQwhkpOPPYv2Y/edit?usp=sharing"",""งบพรบ!EE87"")"),0)</f>
        <v>0</v>
      </c>
      <c r="N311" s="425">
        <f ca="1">IFERROR(__xludf.DUMMYFUNCTION("IMPORTRANGE(""https://docs.google.com/spreadsheets/d/1-uDff_7J0KD5mKrp0Vvzr7lt3OU09vwQwhkpOPPYv2Y/edit?usp=sharing"",""งบพรบ!EG87"")"),0)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hidden="1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hidden="1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hidden="1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IFERROR(__xludf.DUMMYFUNCTION("IMPORTRANGE(""https://docs.google.com/spreadsheets/d/1eHaY18a8A9IcSdp1K8H6x8fbOy06t2VsZHhMHf-1x7Y/edit?usp=sharing"",""แผน!EF87"")"),0)</f>
        <v>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hidden="1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IFERROR(__xludf.DUMMYFUNCTION("IMPORTRANGE(""https://docs.google.com/spreadsheets/d/1eHaY18a8A9IcSdp1K8H6x8fbOy06t2VsZHhMHf-1x7Y/edit?usp=sharing"",""แผน!EG87"")"),0)</f>
        <v>0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hidden="1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IFERROR(__xludf.DUMMYFUNCTION("IMPORTRANGE(""https://docs.google.com/spreadsheets/d/1eHaY18a8A9IcSdp1K8H6x8fbOy06t2VsZHhMHf-1x7Y/edit?usp=sharing"",""แผน!EH87"")"),0)</f>
        <v>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IFERROR(__xludf.DUMMYFUNCTION("IMPORTRANGE(""https://docs.google.com/spreadsheets/d/1eHaY18a8A9IcSdp1K8H6x8fbOy06t2VsZHhMHf-1x7Y/edit?usp=sharing"",""แผน!EI87"")"),0)</f>
        <v>0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hidden="1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hidden="1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0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hidden="1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0</v>
      </c>
      <c r="M320" s="550">
        <f ca="1">M321+M322</f>
        <v>0</v>
      </c>
      <c r="N320" s="550">
        <f ca="1">N321+N322</f>
        <v>0</v>
      </c>
      <c r="O320" s="550">
        <f ca="1">IF(L320&gt;0,N320*100/L320,0)</f>
        <v>0</v>
      </c>
      <c r="P320" s="550">
        <f ca="1">IF(M320&gt;0,N320*100/M320,0)</f>
        <v>0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hidden="1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0</v>
      </c>
      <c r="M322" s="425">
        <f ca="1">M325+M328</f>
        <v>0</v>
      </c>
      <c r="N322" s="425">
        <f ca="1">N325+N328</f>
        <v>0</v>
      </c>
      <c r="O322" s="425">
        <f ca="1">IF(L322&gt;0,N322*100/L322,0)</f>
        <v>0</v>
      </c>
      <c r="P322" s="425">
        <f ca="1">IF(M322&gt;0,N322*100/M322,0)</f>
        <v>0</v>
      </c>
    </row>
    <row r="323" spans="1:16" ht="18.75" hidden="1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0</v>
      </c>
      <c r="M323" s="425">
        <f ca="1">M324+M325</f>
        <v>0</v>
      </c>
      <c r="N323" s="425">
        <f ca="1">N324+N325</f>
        <v>0</v>
      </c>
      <c r="O323" s="425">
        <f ca="1">IF(L323&gt;0,N323*100/L323,0)</f>
        <v>0</v>
      </c>
      <c r="P323" s="425">
        <f ca="1">IF(M323&gt;0,N323*100/M323,0)</f>
        <v>0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hidden="1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IFERROR(__xludf.DUMMYFUNCTION("IMPORTRANGE(""https://docs.google.com/spreadsheets/d/1-uDff_7J0KD5mKrp0Vvzr7lt3OU09vwQwhkpOPPYv2Y/edit?usp=sharing"",""งบพรบ!EI87"")"),0)</f>
        <v>0</v>
      </c>
      <c r="M325" s="425">
        <f ca="1">IFERROR(__xludf.DUMMYFUNCTION("IMPORTRANGE(""https://docs.google.com/spreadsheets/d/1-uDff_7J0KD5mKrp0Vvzr7lt3OU09vwQwhkpOPPYv2Y/edit?usp=sharing"",""งบพรบ!EN87"")"),0)</f>
        <v>0</v>
      </c>
      <c r="N325" s="425">
        <f ca="1">IFERROR(__xludf.DUMMYFUNCTION("IMPORTRANGE(""https://docs.google.com/spreadsheets/d/1-uDff_7J0KD5mKrp0Vvzr7lt3OU09vwQwhkpOPPYv2Y/edit?usp=sharing"",""งบพรบ!EP87"")"),0)</f>
        <v>0</v>
      </c>
      <c r="O325" s="425">
        <f ca="1">IF(L325&gt;0,N325*100/L325,0)</f>
        <v>0</v>
      </c>
      <c r="P325" s="425">
        <f ca="1">IF(M325&gt;0,N325*100/M325,0)</f>
        <v>0</v>
      </c>
    </row>
    <row r="326" spans="1:16" ht="18.75" hidden="1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hidden="1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IFERROR(__xludf.DUMMYFUNCTION("IMPORTRANGE(""https://docs.google.com/spreadsheets/d/1-uDff_7J0KD5mKrp0Vvzr7lt3OU09vwQwhkpOPPYv2Y/edit?usp=sharing"",""งบพรบ!EL87"")"),0)</f>
        <v>0</v>
      </c>
      <c r="M328" s="425">
        <f ca="1">IFERROR(__xludf.DUMMYFUNCTION("IMPORTRANGE(""https://docs.google.com/spreadsheets/d/1-uDff_7J0KD5mKrp0Vvzr7lt3OU09vwQwhkpOPPYv2Y/edit?usp=sharing"",""งบพรบ!EO87"")"),0)</f>
        <v>0</v>
      </c>
      <c r="N328" s="425">
        <f ca="1">IFERROR(__xludf.DUMMYFUNCTION("IMPORTRANGE(""https://docs.google.com/spreadsheets/d/1-uDff_7J0KD5mKrp0Vvzr7lt3OU09vwQwhkpOPPYv2Y/edit?usp=sharing"",""งบพรบ!EQ87"")"),0)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hidden="1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hidden="1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IFERROR(__xludf.DUMMYFUNCTION("IMPORTRANGE(""https://docs.google.com/spreadsheets/d/1eHaY18a8A9IcSdp1K8H6x8fbOy06t2VsZHhMHf-1x7Y/edit?usp=sharing"",""แผน!EJ87"")"),0)</f>
        <v>0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140</v>
      </c>
      <c r="J332" s="402">
        <f ca="1">J344+J347+J348+J349+J353</f>
        <v>345</v>
      </c>
      <c r="K332" s="403">
        <f ca="1">IF(I332&gt;0,J332*100/I332,0)</f>
        <v>246.42857142857142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216600</v>
      </c>
      <c r="M333" s="550">
        <f ca="1">M334+M335</f>
        <v>163350</v>
      </c>
      <c r="N333" s="550">
        <f ca="1">N334+N335</f>
        <v>23112</v>
      </c>
      <c r="O333" s="550">
        <f ca="1">IF(L333&gt;0,N333*100/L333,0)</f>
        <v>10.670360110803324</v>
      </c>
      <c r="P333" s="550">
        <f ca="1">IF(M333&gt;0,N333*100/M333,0)</f>
        <v>14.148760330578513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216600</v>
      </c>
      <c r="M335" s="425">
        <f ca="1">M338+M341</f>
        <v>163350</v>
      </c>
      <c r="N335" s="425">
        <f ca="1">N338+N341</f>
        <v>23112</v>
      </c>
      <c r="O335" s="425">
        <f ca="1">IF(L335&gt;0,N335*100/L335,0)</f>
        <v>10.670360110803324</v>
      </c>
      <c r="P335" s="425">
        <f ca="1">IF(M335&gt;0,N335*100/M335,0)</f>
        <v>14.148760330578513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216600</v>
      </c>
      <c r="M336" s="425">
        <f ca="1">M337+M338</f>
        <v>163350</v>
      </c>
      <c r="N336" s="425">
        <f ca="1">N337+N338</f>
        <v>23112</v>
      </c>
      <c r="O336" s="425">
        <f ca="1">IF(L336&gt;0,N336*100/L336,0)</f>
        <v>10.670360110803324</v>
      </c>
      <c r="P336" s="425">
        <f ca="1">IF(M336&gt;0,N336*100/M336,0)</f>
        <v>14.148760330578513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IFERROR(__xludf.DUMMYFUNCTION("IMPORTRANGE(""https://docs.google.com/spreadsheets/d/1-uDff_7J0KD5mKrp0Vvzr7lt3OU09vwQwhkpOPPYv2Y/edit?usp=sharing"",""งบพรบ!ES87"")"),216600)</f>
        <v>216600</v>
      </c>
      <c r="M338" s="425">
        <f ca="1">IFERROR(__xludf.DUMMYFUNCTION("IMPORTRANGE(""https://docs.google.com/spreadsheets/d/1-uDff_7J0KD5mKrp0Vvzr7lt3OU09vwQwhkpOPPYv2Y/edit?usp=sharing"",""งบพรบ!EX87"")"),163350)</f>
        <v>163350</v>
      </c>
      <c r="N338" s="425">
        <f ca="1">IFERROR(__xludf.DUMMYFUNCTION("IMPORTRANGE(""https://docs.google.com/spreadsheets/d/1-uDff_7J0KD5mKrp0Vvzr7lt3OU09vwQwhkpOPPYv2Y/edit?usp=sharing"",""งบพรบ!EZ87"")"),23112)</f>
        <v>23112</v>
      </c>
      <c r="O338" s="425">
        <f ca="1">IF(L338&gt;0,N338*100/L338,0)</f>
        <v>10.670360110803324</v>
      </c>
      <c r="P338" s="425">
        <f ca="1">IF(M338&gt;0,N338*100/M338,0)</f>
        <v>14.148760330578513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IFERROR(__xludf.DUMMYFUNCTION("IMPORTRANGE(""https://docs.google.com/spreadsheets/d/1-uDff_7J0KD5mKrp0Vvzr7lt3OU09vwQwhkpOPPYv2Y/edit?usp=sharing"",""งบพรบ!EV87"")"),0)</f>
        <v>0</v>
      </c>
      <c r="M341" s="425">
        <f ca="1">IFERROR(__xludf.DUMMYFUNCTION("IMPORTRANGE(""https://docs.google.com/spreadsheets/d/1-uDff_7J0KD5mKrp0Vvzr7lt3OU09vwQwhkpOPPYv2Y/edit?usp=sharing"",""งบพรบ!EY87"")"),0)</f>
        <v>0</v>
      </c>
      <c r="N341" s="425">
        <f ca="1">IFERROR(__xludf.DUMMYFUNCTION("IMPORTRANGE(""https://docs.google.com/spreadsheets/d/1-uDff_7J0KD5mKrp0Vvzr7lt3OU09vwQwhkpOPPYv2Y/edit?usp=sharing"",""งบพรบ!FA87"")"),0)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180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IFERROR(__xludf.DUMMYFUNCTION("IMPORTRANGE(""https://docs.google.com/spreadsheets/d/1eHaY18a8A9IcSdp1K8H6x8fbOy06t2VsZHhMHf-1x7Y/edit?usp=sharing"",""แผน!EK87"")"),140)</f>
        <v>140</v>
      </c>
      <c r="J344" s="424">
        <f ca="1">IFERROR(__xludf.DUMMYFUNCTION("IMPORTRANGE(""https://docs.google.com/spreadsheets/d/1awYsYK3VOup2i3Pq_Yjnu8DRu_mYwSBnCR2QPthd0rU/edit?usp=sharing"",""ศูนย์ยกเว้นโฉนด!D87"")"),73)</f>
        <v>73</v>
      </c>
      <c r="K344" s="425">
        <f ca="1">IF(I344&gt;0,J344*100/I344,0)</f>
        <v>52.142857142857146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IFERROR(__xludf.DUMMYFUNCTION("IMPORTRANGE(""https://docs.google.com/spreadsheets/d/1eHaY18a8A9IcSdp1K8H6x8fbOy06t2VsZHhMHf-1x7Y/edit?usp=sharing"",""แผน!EL87"")"),1)</f>
        <v>1</v>
      </c>
      <c r="J346" s="424">
        <f ca="1">IFERROR(__xludf.DUMMYFUNCTION("IMPORTRANGE(""https://docs.google.com/spreadsheets/d/1awYsYK3VOup2i3Pq_Yjnu8DRu_mYwSBnCR2QPthd0rU/edit?usp=sharing"",""ศูนย์รวม!E87"")"),2)</f>
        <v>2</v>
      </c>
      <c r="K346" s="425">
        <f ca="1">IF(I346&gt;0,J346*100/I346,0)</f>
        <v>200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IFERROR(__xludf.DUMMYFUNCTION("IMPORTRANGE(""https://docs.google.com/spreadsheets/d/1awYsYK3VOup2i3Pq_Yjnu8DRu_mYwSBnCR2QPthd0rU/edit?usp=sharing"",""ศูนย์ยกเว้นโฉนด!F87"")"),107)</f>
        <v>107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IFERROR(__xludf.DUMMYFUNCTION("IMPORTRANGE(""https://docs.google.com/spreadsheets/d/1awYsYK3VOup2i3Pq_Yjnu8DRu_mYwSBnCR2QPthd0rU/edit?usp=sharing"",""ศูนย์ยกเว้นโฉนด!G87"")"),0)</f>
        <v>0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IFERROR(__xludf.DUMMYFUNCTION("IMPORTRANGE(""https://docs.google.com/spreadsheets/d/1awYsYK3VOup2i3Pq_Yjnu8DRu_mYwSBnCR2QPthd0rU/edit?usp=sharing"",""ศูนย์ยกเว้นโฉนด!H87"")"),0)</f>
        <v>0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199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IFERROR(__xludf.DUMMYFUNCTION("IMPORTRANGE(""https://docs.google.com/spreadsheets/d/1awYsYK3VOup2i3Pq_Yjnu8DRu_mYwSBnCR2QPthd0rU/edit?usp=sharing"",""โฉนดM3!G87"")"),34)</f>
        <v>34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IFERROR(__xludf.DUMMYFUNCTION("IMPORTRANGE(""https://docs.google.com/spreadsheets/d/1awYsYK3VOup2i3Pq_Yjnu8DRu_mYwSBnCR2QPthd0rU/edit?usp=sharing"",""โฉนดM3!H87"")"),165)</f>
        <v>165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142885</v>
      </c>
      <c r="M356" s="550">
        <f ca="1">M357+M358</f>
        <v>116885</v>
      </c>
      <c r="N356" s="550">
        <f ca="1">N357+N358</f>
        <v>10880</v>
      </c>
      <c r="O356" s="550">
        <f ca="1">IF(L356&gt;0,N356*100/L356,0)</f>
        <v>7.6145151695419395</v>
      </c>
      <c r="P356" s="550">
        <f ca="1">IF(M356&gt;0,N356*100/M356,0)</f>
        <v>9.3082944774778635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142885</v>
      </c>
      <c r="M358" s="425">
        <f ca="1">M361+M364</f>
        <v>116885</v>
      </c>
      <c r="N358" s="425">
        <f ca="1">N361+N364</f>
        <v>10880</v>
      </c>
      <c r="O358" s="425">
        <f ca="1">IF(L358&gt;0,N358*100/L358,0)</f>
        <v>7.6145151695419395</v>
      </c>
      <c r="P358" s="425">
        <f ca="1">IF(M358&gt;0,N358*100/M358,0)</f>
        <v>9.3082944774778635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142885</v>
      </c>
      <c r="M359" s="425">
        <f ca="1">M360+M361</f>
        <v>116885</v>
      </c>
      <c r="N359" s="425">
        <f ca="1">N360+N361</f>
        <v>10880</v>
      </c>
      <c r="O359" s="425">
        <f ca="1">IF(L359&gt;0,N359*100/L359,0)</f>
        <v>7.6145151695419395</v>
      </c>
      <c r="P359" s="425">
        <f ca="1">IF(M359&gt;0,N359*100/M359,0)</f>
        <v>9.3082944774778635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IFERROR(__xludf.DUMMYFUNCTION("IMPORTRANGE(""https://docs.google.com/spreadsheets/d/1-uDff_7J0KD5mKrp0Vvzr7lt3OU09vwQwhkpOPPYv2Y/edit?usp=sharing"",""งบพรบ!FC87"")"),142885)</f>
        <v>142885</v>
      </c>
      <c r="M361" s="425">
        <f ca="1">IFERROR(__xludf.DUMMYFUNCTION("IMPORTRANGE(""https://docs.google.com/spreadsheets/d/1-uDff_7J0KD5mKrp0Vvzr7lt3OU09vwQwhkpOPPYv2Y/edit?usp=sharing"",""งบพรบ!FH87"")"),116885)</f>
        <v>116885</v>
      </c>
      <c r="N361" s="425">
        <f ca="1">IFERROR(__xludf.DUMMYFUNCTION("IMPORTRANGE(""https://docs.google.com/spreadsheets/d/1-uDff_7J0KD5mKrp0Vvzr7lt3OU09vwQwhkpOPPYv2Y/edit?usp=sharing"",""งบพรบ!FJ87"")"),10880)</f>
        <v>10880</v>
      </c>
      <c r="O361" s="425">
        <f ca="1">IF(L361&gt;0,N361*100/L361,0)</f>
        <v>7.6145151695419395</v>
      </c>
      <c r="P361" s="425">
        <f ca="1">IF(M361&gt;0,N361*100/M361,0)</f>
        <v>9.3082944774778635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IFERROR(__xludf.DUMMYFUNCTION("IMPORTRANGE(""https://docs.google.com/spreadsheets/d/1-uDff_7J0KD5mKrp0Vvzr7lt3OU09vwQwhkpOPPYv2Y/edit?usp=sharing"",""งบพรบ!FF87"")"),0)</f>
        <v>0</v>
      </c>
      <c r="M364" s="425">
        <f ca="1">IFERROR(__xludf.DUMMYFUNCTION("IMPORTRANGE(""https://docs.google.com/spreadsheets/d/1-uDff_7J0KD5mKrp0Vvzr7lt3OU09vwQwhkpOPPYv2Y/edit?usp=sharing"",""งบพรบ!FI87"")"),0)</f>
        <v>0</v>
      </c>
      <c r="N364" s="425">
        <f ca="1">IFERROR(__xludf.DUMMYFUNCTION("IMPORTRANGE(""https://docs.google.com/spreadsheets/d/1-uDff_7J0KD5mKrp0Vvzr7lt3OU09vwQwhkpOPPYv2Y/edit?usp=sharing"",""งบพรบ!FK87"")"),0)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28</v>
      </c>
      <c r="J365" s="438">
        <f ca="1">J371</f>
        <v>19</v>
      </c>
      <c r="K365" s="439">
        <f ca="1">IF(I365&gt;0,J365*100/I365,0)</f>
        <v>67.857142857142861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IFERROR(__xludf.DUMMYFUNCTION("IMPORTRANGE(""https://docs.google.com/spreadsheets/d/1tdoBKaGub7dwA3U6UFTqxio9LNnvDCQjHKmttSEBsFQ/edit?usp=sharing"",""จัดที่ดิน!AB87"")"),0)</f>
        <v>0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IFERROR(__xludf.DUMMYFUNCTION("IMPORTRANGE(""https://docs.google.com/spreadsheets/d/1eHaY18a8A9IcSdp1K8H6x8fbOy06t2VsZHhMHf-1x7Y/edit?usp=sharing"",""แผน!EW87"")"),265)</f>
        <v>265</v>
      </c>
      <c r="J368" s="528">
        <f ca="1">IFERROR(__xludf.DUMMYFUNCTION("IMPORTRANGE(""https://docs.google.com/spreadsheets/d/1tdoBKaGub7dwA3U6UFTqxio9LNnvDCQjHKmttSEBsFQ/edit?usp=sharing"",""จัดที่ดิน!AC87"")"),0)</f>
        <v>0</v>
      </c>
      <c r="K368" s="425">
        <f ca="1">IF(I368&gt;0,J368*100/I368,0)</f>
        <v>0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IFERROR(__xludf.DUMMYFUNCTION("IMPORTRANGE(""https://docs.google.com/spreadsheets/d/1eHaY18a8A9IcSdp1K8H6x8fbOy06t2VsZHhMHf-1x7Y/edit?usp=sharing"",""แผน!EX87"")"),38)</f>
        <v>38</v>
      </c>
      <c r="J369" s="424">
        <f ca="1">IFERROR(__xludf.DUMMYFUNCTION("IMPORTRANGE(""https://docs.google.com/spreadsheets/d/1tdoBKaGub7dwA3U6UFTqxio9LNnvDCQjHKmttSEBsFQ/edit?usp=sharing"",""จัดที่ดิน!AD87"")"),19)</f>
        <v>19</v>
      </c>
      <c r="K369" s="425">
        <f ca="1">IF(I369&gt;0,J369*100/I369,0)</f>
        <v>50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IFERROR(__xludf.DUMMYFUNCTION("IMPORTRANGE(""https://docs.google.com/spreadsheets/d/1tdoBKaGub7dwA3U6UFTqxio9LNnvDCQjHKmttSEBsFQ/edit?usp=sharing"",""จัดที่ดิน!AE87"")"),95.19)</f>
        <v>95.19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IFERROR(__xludf.DUMMYFUNCTION("IMPORTRANGE(""https://docs.google.com/spreadsheets/d/1eHaY18a8A9IcSdp1K8H6x8fbOy06t2VsZHhMHf-1x7Y/edit?usp=sharing"",""แผน!EY87"")"),28)</f>
        <v>28</v>
      </c>
      <c r="J371" s="424">
        <f ca="1">IFERROR(__xludf.DUMMYFUNCTION("IMPORTRANGE(""https://docs.google.com/spreadsheets/d/1tdoBKaGub7dwA3U6UFTqxio9LNnvDCQjHKmttSEBsFQ/edit?usp=sharing"",""จัดที่ดิน!AF87"")"),19)</f>
        <v>19</v>
      </c>
      <c r="K371" s="425">
        <f ca="1">IF(I371&gt;0,J371*100/I371,0)</f>
        <v>67.857142857142861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IFERROR(__xludf.DUMMYFUNCTION("IMPORTRANGE(""https://docs.google.com/spreadsheets/d/1tdoBKaGub7dwA3U6UFTqxio9LNnvDCQjHKmttSEBsFQ/edit?usp=sharing"",""จัดที่ดิน!AG87"")"),95.19)</f>
        <v>95.19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IFERROR(__xludf.DUMMYFUNCTION("IMPORTRANGE(""https://docs.google.com/spreadsheets/d/1-uDff_7J0KD5mKrp0Vvzr7lt3OU09vwQwhkpOPPYv2Y/edit?usp=sharing"",""งบพรบ!FM87"")"),0)</f>
        <v>0</v>
      </c>
      <c r="M382" s="544">
        <f ca="1">IFERROR(__xludf.DUMMYFUNCTION("IMPORTRANGE(""https://docs.google.com/spreadsheets/d/1-uDff_7J0KD5mKrp0Vvzr7lt3OU09vwQwhkpOPPYv2Y/edit?usp=sharing"",""งบพรบ!FR87"")"),0)</f>
        <v>0</v>
      </c>
      <c r="N382" s="544">
        <f ca="1">IFERROR(__xludf.DUMMYFUNCTION("IMPORTRANGE(""https://docs.google.com/spreadsheets/d/1-uDff_7J0KD5mKrp0Vvzr7lt3OU09vwQwhkpOPPYv2Y/edit?usp=sharing"",""งบพรบ!FT87"")"),0)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IFERROR(__xludf.DUMMYFUNCTION("IMPORTRANGE(""https://docs.google.com/spreadsheets/d/1-uDff_7J0KD5mKrp0Vvzr7lt3OU09vwQwhkpOPPYv2Y/edit?usp=sharing"",""งบพรบ!FP87"")"),0)</f>
        <v>0</v>
      </c>
      <c r="M385" s="544">
        <f ca="1">IFERROR(__xludf.DUMMYFUNCTION("IMPORTRANGE(""https://docs.google.com/spreadsheets/d/1-uDff_7J0KD5mKrp0Vvzr7lt3OU09vwQwhkpOPPYv2Y/edit?usp=sharing"",""งบพรบ!FS87"")"),0)</f>
        <v>0</v>
      </c>
      <c r="N385" s="544">
        <f ca="1">IFERROR(__xludf.DUMMYFUNCTION("IMPORTRANGE(""https://docs.google.com/spreadsheets/d/1-uDff_7J0KD5mKrp0Vvzr7lt3OU09vwQwhkpOPPYv2Y/edit?usp=sharing"",""งบพรบ!FU87"")"),0)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695E-0F0A-4A20-A12E-A222B8853622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850" t="s">
        <v>0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</row>
    <row r="2" spans="1:16" ht="19.5" x14ac:dyDescent="0.3">
      <c r="A2" s="850" t="s">
        <v>174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1:16" ht="19.5" x14ac:dyDescent="0.3">
      <c r="A3" s="850" t="s">
        <v>175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</row>
    <row r="4" spans="1:16" ht="12.75" x14ac:dyDescent="0.2">
      <c r="A4" s="524"/>
      <c r="B4" s="524"/>
      <c r="C4" s="524"/>
      <c r="D4" s="524"/>
      <c r="E4" s="524"/>
      <c r="F4" s="524"/>
      <c r="G4" s="524"/>
      <c r="H4" s="524"/>
      <c r="I4" s="524"/>
      <c r="J4" s="526"/>
      <c r="K4" s="849"/>
      <c r="L4" s="526"/>
      <c r="M4" s="526"/>
      <c r="N4" s="526"/>
      <c r="O4" s="524"/>
      <c r="P4" s="524"/>
    </row>
    <row r="5" spans="1:16" ht="19.5" x14ac:dyDescent="0.3">
      <c r="A5" s="848" t="s">
        <v>2</v>
      </c>
      <c r="B5" s="500"/>
      <c r="C5" s="500"/>
      <c r="D5" s="500"/>
      <c r="E5" s="500"/>
      <c r="F5" s="500"/>
      <c r="G5" s="847"/>
      <c r="H5" s="846" t="s">
        <v>3</v>
      </c>
      <c r="I5" s="845" t="s">
        <v>4</v>
      </c>
      <c r="J5" s="492"/>
      <c r="K5" s="493"/>
      <c r="L5" s="844" t="s">
        <v>5</v>
      </c>
      <c r="M5" s="493"/>
      <c r="N5" s="843" t="s">
        <v>6</v>
      </c>
      <c r="O5" s="492"/>
      <c r="P5" s="493"/>
    </row>
    <row r="6" spans="1:16" ht="19.5" x14ac:dyDescent="0.3">
      <c r="A6" s="504"/>
      <c r="B6" s="492"/>
      <c r="C6" s="492"/>
      <c r="D6" s="492"/>
      <c r="E6" s="492"/>
      <c r="F6" s="492"/>
      <c r="G6" s="493"/>
      <c r="H6" s="842"/>
      <c r="I6" s="840" t="s">
        <v>7</v>
      </c>
      <c r="J6" s="841" t="s">
        <v>8</v>
      </c>
      <c r="K6" s="840" t="s">
        <v>9</v>
      </c>
      <c r="L6" s="839" t="s">
        <v>10</v>
      </c>
      <c r="M6" s="838" t="s">
        <v>11</v>
      </c>
      <c r="N6" s="837" t="s">
        <v>12</v>
      </c>
      <c r="O6" s="836" t="s">
        <v>13</v>
      </c>
      <c r="P6" s="835" t="s">
        <v>14</v>
      </c>
    </row>
    <row r="7" spans="1:16" ht="12.75" hidden="1" x14ac:dyDescent="0.2">
      <c r="A7" s="821"/>
      <c r="B7" s="492"/>
      <c r="C7" s="492"/>
      <c r="D7" s="492"/>
      <c r="E7" s="492"/>
      <c r="F7" s="492"/>
      <c r="G7" s="493"/>
      <c r="H7" s="584"/>
      <c r="I7" s="583"/>
      <c r="J7" s="583"/>
      <c r="K7" s="582"/>
      <c r="L7" s="582"/>
      <c r="M7" s="582"/>
      <c r="N7" s="582"/>
      <c r="O7" s="582"/>
      <c r="P7" s="582"/>
    </row>
    <row r="8" spans="1:16" ht="12.75" hidden="1" x14ac:dyDescent="0.2">
      <c r="A8" s="803"/>
      <c r="B8" s="591"/>
      <c r="C8" s="591"/>
      <c r="D8" s="591"/>
      <c r="E8" s="591"/>
      <c r="F8" s="591"/>
      <c r="G8" s="590"/>
      <c r="H8" s="590"/>
      <c r="I8" s="589"/>
      <c r="J8" s="589"/>
      <c r="K8" s="588"/>
      <c r="L8" s="588"/>
      <c r="M8" s="588"/>
      <c r="N8" s="588"/>
      <c r="O8" s="588"/>
      <c r="P8" s="588"/>
    </row>
    <row r="9" spans="1:16" ht="12.75" hidden="1" x14ac:dyDescent="0.2">
      <c r="A9" s="803"/>
      <c r="B9" s="591"/>
      <c r="C9" s="591"/>
      <c r="D9" s="591"/>
      <c r="E9" s="591"/>
      <c r="F9" s="591"/>
      <c r="G9" s="590"/>
      <c r="H9" s="590"/>
      <c r="I9" s="589"/>
      <c r="J9" s="589"/>
      <c r="K9" s="588"/>
      <c r="L9" s="588"/>
      <c r="M9" s="588"/>
      <c r="N9" s="588"/>
      <c r="O9" s="588"/>
      <c r="P9" s="588"/>
    </row>
    <row r="10" spans="1:16" ht="12.75" hidden="1" x14ac:dyDescent="0.2">
      <c r="A10" s="803"/>
      <c r="B10" s="591"/>
      <c r="C10" s="591"/>
      <c r="D10" s="591"/>
      <c r="E10" s="591"/>
      <c r="F10" s="591"/>
      <c r="G10" s="590"/>
      <c r="H10" s="590"/>
      <c r="I10" s="589"/>
      <c r="J10" s="589"/>
      <c r="K10" s="588"/>
      <c r="L10" s="588"/>
      <c r="M10" s="588"/>
      <c r="N10" s="588"/>
      <c r="O10" s="588"/>
      <c r="P10" s="588"/>
    </row>
    <row r="11" spans="1:16" ht="12.75" hidden="1" x14ac:dyDescent="0.2">
      <c r="A11" s="803"/>
      <c r="B11" s="591"/>
      <c r="C11" s="591"/>
      <c r="D11" s="591"/>
      <c r="E11" s="591"/>
      <c r="F11" s="591"/>
      <c r="G11" s="590"/>
      <c r="H11" s="590"/>
      <c r="I11" s="589"/>
      <c r="J11" s="589"/>
      <c r="K11" s="588"/>
      <c r="L11" s="588"/>
      <c r="M11" s="588"/>
      <c r="N11" s="588"/>
      <c r="O11" s="588"/>
      <c r="P11" s="588"/>
    </row>
    <row r="12" spans="1:16" ht="12.75" hidden="1" x14ac:dyDescent="0.2">
      <c r="A12" s="803"/>
      <c r="B12" s="591"/>
      <c r="C12" s="591"/>
      <c r="D12" s="591"/>
      <c r="E12" s="591"/>
      <c r="F12" s="591"/>
      <c r="G12" s="590"/>
      <c r="H12" s="590"/>
      <c r="I12" s="589"/>
      <c r="J12" s="589"/>
      <c r="K12" s="588"/>
      <c r="L12" s="588"/>
      <c r="M12" s="588"/>
      <c r="N12" s="588"/>
      <c r="O12" s="588"/>
      <c r="P12" s="588"/>
    </row>
    <row r="13" spans="1:16" ht="12.75" hidden="1" x14ac:dyDescent="0.2">
      <c r="A13" s="803"/>
      <c r="B13" s="591"/>
      <c r="C13" s="591"/>
      <c r="D13" s="591"/>
      <c r="E13" s="591"/>
      <c r="F13" s="591"/>
      <c r="G13" s="590"/>
      <c r="H13" s="590"/>
      <c r="I13" s="589"/>
      <c r="J13" s="589"/>
      <c r="K13" s="588"/>
      <c r="L13" s="588"/>
      <c r="M13" s="588"/>
      <c r="N13" s="588"/>
      <c r="O13" s="588"/>
      <c r="P13" s="588"/>
    </row>
    <row r="14" spans="1:16" ht="12.75" hidden="1" x14ac:dyDescent="0.2">
      <c r="A14" s="803"/>
      <c r="B14" s="591"/>
      <c r="C14" s="591"/>
      <c r="D14" s="591"/>
      <c r="E14" s="591"/>
      <c r="F14" s="591"/>
      <c r="G14" s="590"/>
      <c r="H14" s="590"/>
      <c r="I14" s="589"/>
      <c r="J14" s="589"/>
      <c r="K14" s="588"/>
      <c r="L14" s="588"/>
      <c r="M14" s="588"/>
      <c r="N14" s="588"/>
      <c r="O14" s="588"/>
      <c r="P14" s="588"/>
    </row>
    <row r="15" spans="1:16" ht="12.75" hidden="1" x14ac:dyDescent="0.2">
      <c r="A15" s="803"/>
      <c r="B15" s="591"/>
      <c r="C15" s="591"/>
      <c r="D15" s="591"/>
      <c r="E15" s="591"/>
      <c r="F15" s="591"/>
      <c r="G15" s="590"/>
      <c r="H15" s="590"/>
      <c r="I15" s="589"/>
      <c r="J15" s="589"/>
      <c r="K15" s="588"/>
      <c r="L15" s="588"/>
      <c r="M15" s="588"/>
      <c r="N15" s="588"/>
      <c r="O15" s="588"/>
      <c r="P15" s="588"/>
    </row>
    <row r="16" spans="1:16" ht="12.75" hidden="1" x14ac:dyDescent="0.2">
      <c r="A16" s="820"/>
      <c r="B16" s="585"/>
      <c r="C16" s="585"/>
      <c r="D16" s="585"/>
      <c r="E16" s="585"/>
      <c r="F16" s="585"/>
      <c r="G16" s="584"/>
      <c r="H16" s="584"/>
      <c r="I16" s="583"/>
      <c r="J16" s="583"/>
      <c r="K16" s="582"/>
      <c r="L16" s="582"/>
      <c r="M16" s="582"/>
      <c r="N16" s="582"/>
      <c r="O16" s="582"/>
      <c r="P16" s="582"/>
    </row>
    <row r="17" spans="1:16" ht="19.5" x14ac:dyDescent="0.3">
      <c r="A17" s="834" t="s">
        <v>15</v>
      </c>
      <c r="B17" s="492"/>
      <c r="C17" s="492"/>
      <c r="D17" s="492"/>
      <c r="E17" s="492"/>
      <c r="F17" s="492"/>
      <c r="G17" s="493"/>
      <c r="H17" s="833"/>
      <c r="I17" s="832"/>
      <c r="J17" s="832"/>
      <c r="K17" s="831"/>
      <c r="L17" s="831"/>
      <c r="M17" s="831"/>
      <c r="N17" s="831"/>
      <c r="O17" s="831"/>
      <c r="P17" s="831"/>
    </row>
    <row r="18" spans="1:16" ht="19.5" x14ac:dyDescent="0.3">
      <c r="A18" s="825"/>
      <c r="B18" s="713"/>
      <c r="C18" s="714" t="s">
        <v>16</v>
      </c>
      <c r="D18" s="830" t="s">
        <v>17</v>
      </c>
      <c r="E18" s="713"/>
      <c r="F18" s="713"/>
      <c r="G18" s="712"/>
      <c r="H18" s="829" t="s">
        <v>12</v>
      </c>
      <c r="I18" s="726"/>
      <c r="J18" s="726"/>
      <c r="K18" s="708"/>
      <c r="L18" s="709">
        <f ca="1">L19+L20</f>
        <v>2453398</v>
      </c>
      <c r="M18" s="709">
        <f ca="1">M19+M20</f>
        <v>2034404</v>
      </c>
      <c r="N18" s="709">
        <f ca="1">N19+N20</f>
        <v>743729.99</v>
      </c>
      <c r="O18" s="709">
        <f ca="1">IF(L18&gt;0,N18*100/L18,0)</f>
        <v>30.31428206919546</v>
      </c>
      <c r="P18" s="709">
        <f ca="1">IF(M18&gt;0,N18*100/M18,0)</f>
        <v>36.557635061669167</v>
      </c>
    </row>
    <row r="19" spans="1:16" ht="18.75" hidden="1" x14ac:dyDescent="0.25">
      <c r="A19" s="825"/>
      <c r="B19" s="713"/>
      <c r="C19" s="713"/>
      <c r="D19" s="713"/>
      <c r="E19" s="828" t="s">
        <v>18</v>
      </c>
      <c r="F19" s="713"/>
      <c r="G19" s="712"/>
      <c r="H19" s="827" t="s">
        <v>12</v>
      </c>
      <c r="I19" s="726"/>
      <c r="J19" s="726"/>
      <c r="K19" s="708"/>
      <c r="L19" s="826">
        <f>L22+L25</f>
        <v>0</v>
      </c>
      <c r="M19" s="826">
        <f>M22+M25</f>
        <v>0</v>
      </c>
      <c r="N19" s="826">
        <f>N22+N25</f>
        <v>0</v>
      </c>
      <c r="O19" s="826">
        <f>IF(L19&gt;0,N19*100/L19,0)</f>
        <v>0</v>
      </c>
      <c r="P19" s="826">
        <f>IF(M19&gt;0,N19*100/M19,0)</f>
        <v>0</v>
      </c>
    </row>
    <row r="20" spans="1:16" ht="18.75" x14ac:dyDescent="0.25">
      <c r="A20" s="825"/>
      <c r="B20" s="713"/>
      <c r="C20" s="713"/>
      <c r="D20" s="713"/>
      <c r="E20" s="824" t="s">
        <v>19</v>
      </c>
      <c r="F20" s="713"/>
      <c r="G20" s="712"/>
      <c r="H20" s="823" t="s">
        <v>12</v>
      </c>
      <c r="I20" s="726"/>
      <c r="J20" s="726"/>
      <c r="K20" s="708"/>
      <c r="L20" s="822">
        <f ca="1">L23+L26</f>
        <v>2453398</v>
      </c>
      <c r="M20" s="822">
        <f ca="1">M23+M26</f>
        <v>2034404</v>
      </c>
      <c r="N20" s="822">
        <f ca="1">N23+N26</f>
        <v>743729.99</v>
      </c>
      <c r="O20" s="822">
        <f ca="1">IF(L20&gt;0,N20*100/L20,0)</f>
        <v>30.31428206919546</v>
      </c>
      <c r="P20" s="822">
        <f ca="1">IF(M20&gt;0,N20*100/M20,0)</f>
        <v>36.557635061669167</v>
      </c>
    </row>
    <row r="21" spans="1:16" ht="18.75" x14ac:dyDescent="0.25">
      <c r="A21" s="756"/>
      <c r="B21" s="418"/>
      <c r="C21" s="418"/>
      <c r="D21" s="547" t="s">
        <v>20</v>
      </c>
      <c r="E21" s="418"/>
      <c r="F21" s="418"/>
      <c r="G21" s="422"/>
      <c r="H21" s="569" t="s">
        <v>12</v>
      </c>
      <c r="I21" s="427"/>
      <c r="J21" s="427"/>
      <c r="K21" s="428"/>
      <c r="L21" s="425">
        <f ca="1">L22+L23</f>
        <v>2453398</v>
      </c>
      <c r="M21" s="425">
        <f ca="1">M22+M23</f>
        <v>2034404</v>
      </c>
      <c r="N21" s="425">
        <f ca="1">N22+N23</f>
        <v>743729.99</v>
      </c>
      <c r="O21" s="425">
        <f ca="1">IF(L21&gt;0,N21*100/L21,0)</f>
        <v>30.31428206919546</v>
      </c>
      <c r="P21" s="425">
        <f ca="1">IF(M21&gt;0,N21*100/M21,0)</f>
        <v>36.557635061669167</v>
      </c>
    </row>
    <row r="22" spans="1:16" ht="18.75" hidden="1" x14ac:dyDescent="0.25">
      <c r="A22" s="756"/>
      <c r="B22" s="418"/>
      <c r="C22" s="418"/>
      <c r="D22" s="418"/>
      <c r="E22" s="546" t="s">
        <v>18</v>
      </c>
      <c r="F22" s="418"/>
      <c r="G22" s="422"/>
      <c r="H22" s="574" t="s">
        <v>12</v>
      </c>
      <c r="I22" s="427"/>
      <c r="J22" s="427"/>
      <c r="K22" s="428"/>
      <c r="L22" s="544">
        <f>L48+L63+L76+L98+L129+L143+L161+L190+L177+L270+L286+L307+L324+L337+L360+L381</f>
        <v>0</v>
      </c>
      <c r="M22" s="544">
        <f>M48+M63+M76+M98+M129+M143+M161+M190+M177+M270+M286+M307+M324+M337+M360+M381</f>
        <v>0</v>
      </c>
      <c r="N22" s="544">
        <f>N48+N63+N76+N98+N129+N143+N161+N190+N177+N270+N286+N307+N324+N337+N360+N381</f>
        <v>0</v>
      </c>
      <c r="O22" s="544">
        <f>IF(L22&gt;0,N22*100/L22,0)</f>
        <v>0</v>
      </c>
      <c r="P22" s="544">
        <f>IF(M22&gt;0,N22*100/M22,0)</f>
        <v>0</v>
      </c>
    </row>
    <row r="23" spans="1:16" ht="18.75" x14ac:dyDescent="0.25">
      <c r="A23" s="756"/>
      <c r="B23" s="418"/>
      <c r="C23" s="418"/>
      <c r="D23" s="418"/>
      <c r="E23" s="293" t="s">
        <v>19</v>
      </c>
      <c r="F23" s="418"/>
      <c r="G23" s="422"/>
      <c r="H23" s="569" t="s">
        <v>12</v>
      </c>
      <c r="I23" s="427"/>
      <c r="J23" s="427"/>
      <c r="K23" s="428"/>
      <c r="L23" s="425">
        <f ca="1">L49+L64+L77+L99+L130+L144+L162+L191+L178+L271+L287+L308+L325+L338+L361+L382</f>
        <v>2453398</v>
      </c>
      <c r="M23" s="425">
        <f ca="1">M49+M64+M77+M99+M130+M144+M162+M191+M178+M271+M287+M308+M325+M338+M361+M382</f>
        <v>2034404</v>
      </c>
      <c r="N23" s="425">
        <f ca="1">N49+N64+N77+N99+N130+N144+N162+N191+N178+N271+N287+N308+N325+N338+N361+N382</f>
        <v>743729.99</v>
      </c>
      <c r="O23" s="425">
        <f ca="1">IF(L23&gt;0,N23*100/L23,0)</f>
        <v>30.31428206919546</v>
      </c>
      <c r="P23" s="425">
        <f ca="1">IF(M23&gt;0,N23*100/M23,0)</f>
        <v>36.557635061669167</v>
      </c>
    </row>
    <row r="24" spans="1:16" ht="18.75" x14ac:dyDescent="0.25">
      <c r="A24" s="756"/>
      <c r="B24" s="418"/>
      <c r="C24" s="418"/>
      <c r="D24" s="547" t="s">
        <v>21</v>
      </c>
      <c r="E24" s="418"/>
      <c r="F24" s="418"/>
      <c r="G24" s="422"/>
      <c r="H24" s="569" t="s">
        <v>12</v>
      </c>
      <c r="I24" s="427"/>
      <c r="J24" s="427"/>
      <c r="K24" s="428"/>
      <c r="L24" s="425">
        <f ca="1">L25+L26</f>
        <v>0</v>
      </c>
      <c r="M24" s="425">
        <f ca="1">M25+M26</f>
        <v>0</v>
      </c>
      <c r="N24" s="425">
        <f ca="1">N25+N26</f>
        <v>0</v>
      </c>
      <c r="O24" s="425">
        <f ca="1">IF(L24&gt;0,N24*100/L24,0)</f>
        <v>0</v>
      </c>
      <c r="P24" s="425">
        <f ca="1">IF(M24&gt;0,N24*100/M24,0)</f>
        <v>0</v>
      </c>
    </row>
    <row r="25" spans="1:16" ht="18.75" hidden="1" x14ac:dyDescent="0.25">
      <c r="A25" s="756"/>
      <c r="B25" s="418"/>
      <c r="C25" s="418"/>
      <c r="D25" s="418"/>
      <c r="E25" s="546" t="s">
        <v>18</v>
      </c>
      <c r="F25" s="418"/>
      <c r="G25" s="422"/>
      <c r="H25" s="574" t="s">
        <v>12</v>
      </c>
      <c r="I25" s="427"/>
      <c r="J25" s="427"/>
      <c r="K25" s="428"/>
      <c r="L25" s="544">
        <f>L51+L66+L79+L101+L132+L146+L164+L193+L180+L273+L289+L310+L327+L340+L363+L384</f>
        <v>0</v>
      </c>
      <c r="M25" s="544">
        <f>M51+M66+M79+M101+M132+M146+M164+M193+M180+M273+M289+M310+M327+M340+M363+M384</f>
        <v>0</v>
      </c>
      <c r="N25" s="544">
        <f>N51+N66+N79+N101+N132+N146+N164+N193+N180+N273+N289+N310+N327+N340+N363+N384</f>
        <v>0</v>
      </c>
      <c r="O25" s="544">
        <f>IF(L25&gt;0,N25*100/L25,0)</f>
        <v>0</v>
      </c>
      <c r="P25" s="544">
        <f>IF(M25&gt;0,N25*100/M25,0)</f>
        <v>0</v>
      </c>
    </row>
    <row r="26" spans="1:16" ht="18.75" x14ac:dyDescent="0.25">
      <c r="A26" s="756"/>
      <c r="B26" s="418"/>
      <c r="C26" s="418"/>
      <c r="D26" s="418"/>
      <c r="E26" s="293" t="s">
        <v>19</v>
      </c>
      <c r="F26" s="418"/>
      <c r="G26" s="422"/>
      <c r="H26" s="569" t="s">
        <v>12</v>
      </c>
      <c r="I26" s="427"/>
      <c r="J26" s="427"/>
      <c r="K26" s="428"/>
      <c r="L26" s="425">
        <f ca="1">L52+L67+L80+L102+L133+L147+L165+L194+L181+L274+L290+L311+L328+L341+L364+L385</f>
        <v>0</v>
      </c>
      <c r="M26" s="425">
        <f ca="1">M52+M67+M80+M102+M133+M147+M165+M194+M181+M274+M290+M311+M328+M341+M364+M385</f>
        <v>0</v>
      </c>
      <c r="N26" s="425">
        <f ca="1">N52+N67+N80+N102+N133+N147+N165+N194+N181+N274+N290+N311+N328+N341+N364+N385</f>
        <v>0</v>
      </c>
      <c r="O26" s="425">
        <f ca="1">IF(L26&gt;0,N26*100/L26,0)</f>
        <v>0</v>
      </c>
      <c r="P26" s="425">
        <f ca="1">IF(M26&gt;0,N26*100/M26,0)</f>
        <v>0</v>
      </c>
    </row>
    <row r="27" spans="1:16" ht="18.75" hidden="1" x14ac:dyDescent="0.25">
      <c r="A27" s="756"/>
      <c r="B27" s="418"/>
      <c r="C27" s="418"/>
      <c r="D27" s="547" t="s">
        <v>22</v>
      </c>
      <c r="E27" s="418"/>
      <c r="F27" s="418"/>
      <c r="G27" s="422"/>
      <c r="H27" s="569" t="s">
        <v>12</v>
      </c>
      <c r="I27" s="427"/>
      <c r="J27" s="427"/>
      <c r="K27" s="428"/>
      <c r="L27" s="425"/>
      <c r="M27" s="425"/>
      <c r="N27" s="425"/>
      <c r="O27" s="425"/>
      <c r="P27" s="425"/>
    </row>
    <row r="28" spans="1:16" ht="18.75" hidden="1" x14ac:dyDescent="0.25">
      <c r="A28" s="756"/>
      <c r="B28" s="418"/>
      <c r="C28" s="418"/>
      <c r="D28" s="418"/>
      <c r="E28" s="546" t="s">
        <v>18</v>
      </c>
      <c r="F28" s="418"/>
      <c r="G28" s="422"/>
      <c r="H28" s="574" t="s">
        <v>12</v>
      </c>
      <c r="I28" s="427"/>
      <c r="J28" s="427"/>
      <c r="K28" s="428"/>
      <c r="L28" s="544"/>
      <c r="M28" s="544"/>
      <c r="N28" s="544"/>
      <c r="O28" s="544"/>
      <c r="P28" s="544"/>
    </row>
    <row r="29" spans="1:16" ht="18.75" hidden="1" x14ac:dyDescent="0.25">
      <c r="A29" s="755"/>
      <c r="B29" s="524"/>
      <c r="C29" s="524"/>
      <c r="D29" s="524"/>
      <c r="E29" s="754" t="s">
        <v>19</v>
      </c>
      <c r="F29" s="524"/>
      <c r="G29" s="523"/>
      <c r="H29" s="753" t="s">
        <v>12</v>
      </c>
      <c r="I29" s="522"/>
      <c r="J29" s="522"/>
      <c r="K29" s="521"/>
      <c r="L29" s="752"/>
      <c r="M29" s="752"/>
      <c r="N29" s="752"/>
      <c r="O29" s="752"/>
      <c r="P29" s="752"/>
    </row>
    <row r="30" spans="1:16" ht="12.75" hidden="1" x14ac:dyDescent="0.2">
      <c r="A30" s="821"/>
      <c r="B30" s="492"/>
      <c r="C30" s="492"/>
      <c r="D30" s="492"/>
      <c r="E30" s="492"/>
      <c r="F30" s="492"/>
      <c r="G30" s="493"/>
      <c r="H30" s="584"/>
      <c r="I30" s="583"/>
      <c r="J30" s="583"/>
      <c r="K30" s="582"/>
      <c r="L30" s="582"/>
      <c r="M30" s="582"/>
      <c r="N30" s="582"/>
      <c r="O30" s="582"/>
      <c r="P30" s="582"/>
    </row>
    <row r="31" spans="1:16" ht="12.75" hidden="1" x14ac:dyDescent="0.2">
      <c r="A31" s="803"/>
      <c r="B31" s="591"/>
      <c r="C31" s="591"/>
      <c r="D31" s="591"/>
      <c r="E31" s="591"/>
      <c r="F31" s="591"/>
      <c r="G31" s="590"/>
      <c r="H31" s="590"/>
      <c r="I31" s="589"/>
      <c r="J31" s="589"/>
      <c r="K31" s="588"/>
      <c r="L31" s="588"/>
      <c r="M31" s="588"/>
      <c r="N31" s="588"/>
      <c r="O31" s="588"/>
      <c r="P31" s="588"/>
    </row>
    <row r="32" spans="1:16" ht="12.75" hidden="1" x14ac:dyDescent="0.2">
      <c r="A32" s="803"/>
      <c r="B32" s="591"/>
      <c r="C32" s="591"/>
      <c r="D32" s="591"/>
      <c r="E32" s="591"/>
      <c r="F32" s="591"/>
      <c r="G32" s="590"/>
      <c r="H32" s="590"/>
      <c r="I32" s="589"/>
      <c r="J32" s="589"/>
      <c r="K32" s="588"/>
      <c r="L32" s="588"/>
      <c r="M32" s="588"/>
      <c r="N32" s="588"/>
      <c r="O32" s="588"/>
      <c r="P32" s="588"/>
    </row>
    <row r="33" spans="1:16" ht="12.75" hidden="1" x14ac:dyDescent="0.2">
      <c r="A33" s="803"/>
      <c r="B33" s="591"/>
      <c r="C33" s="591"/>
      <c r="D33" s="591"/>
      <c r="E33" s="591"/>
      <c r="F33" s="591"/>
      <c r="G33" s="590"/>
      <c r="H33" s="590"/>
      <c r="I33" s="589"/>
      <c r="J33" s="589"/>
      <c r="K33" s="588"/>
      <c r="L33" s="588"/>
      <c r="M33" s="588"/>
      <c r="N33" s="588"/>
      <c r="O33" s="588"/>
      <c r="P33" s="588"/>
    </row>
    <row r="34" spans="1:16" ht="12.75" hidden="1" x14ac:dyDescent="0.2">
      <c r="A34" s="803"/>
      <c r="B34" s="591"/>
      <c r="C34" s="591"/>
      <c r="D34" s="591"/>
      <c r="E34" s="591"/>
      <c r="F34" s="591"/>
      <c r="G34" s="590"/>
      <c r="H34" s="590"/>
      <c r="I34" s="589"/>
      <c r="J34" s="589"/>
      <c r="K34" s="588"/>
      <c r="L34" s="588"/>
      <c r="M34" s="588"/>
      <c r="N34" s="588"/>
      <c r="O34" s="588"/>
      <c r="P34" s="588"/>
    </row>
    <row r="35" spans="1:16" ht="12.75" hidden="1" x14ac:dyDescent="0.2">
      <c r="A35" s="803"/>
      <c r="B35" s="591"/>
      <c r="C35" s="591"/>
      <c r="D35" s="591"/>
      <c r="E35" s="591"/>
      <c r="F35" s="591"/>
      <c r="G35" s="590"/>
      <c r="H35" s="590"/>
      <c r="I35" s="589"/>
      <c r="J35" s="589"/>
      <c r="K35" s="588"/>
      <c r="L35" s="588"/>
      <c r="M35" s="588"/>
      <c r="N35" s="588"/>
      <c r="O35" s="588"/>
      <c r="P35" s="588"/>
    </row>
    <row r="36" spans="1:16" ht="12.75" hidden="1" x14ac:dyDescent="0.2">
      <c r="A36" s="803"/>
      <c r="B36" s="591"/>
      <c r="C36" s="591"/>
      <c r="D36" s="591"/>
      <c r="E36" s="591"/>
      <c r="F36" s="591"/>
      <c r="G36" s="590"/>
      <c r="H36" s="590"/>
      <c r="I36" s="589"/>
      <c r="J36" s="589"/>
      <c r="K36" s="588"/>
      <c r="L36" s="588"/>
      <c r="M36" s="588"/>
      <c r="N36" s="588"/>
      <c r="O36" s="588"/>
      <c r="P36" s="588"/>
    </row>
    <row r="37" spans="1:16" ht="12.75" hidden="1" x14ac:dyDescent="0.2">
      <c r="A37" s="803"/>
      <c r="B37" s="591"/>
      <c r="C37" s="591"/>
      <c r="D37" s="591"/>
      <c r="E37" s="591"/>
      <c r="F37" s="591"/>
      <c r="G37" s="590"/>
      <c r="H37" s="590"/>
      <c r="I37" s="589"/>
      <c r="J37" s="589"/>
      <c r="K37" s="588"/>
      <c r="L37" s="588"/>
      <c r="M37" s="588"/>
      <c r="N37" s="588"/>
      <c r="O37" s="588"/>
      <c r="P37" s="588"/>
    </row>
    <row r="38" spans="1:16" ht="12.75" hidden="1" x14ac:dyDescent="0.2">
      <c r="A38" s="803"/>
      <c r="B38" s="591"/>
      <c r="C38" s="591"/>
      <c r="D38" s="591"/>
      <c r="E38" s="591"/>
      <c r="F38" s="591"/>
      <c r="G38" s="590"/>
      <c r="H38" s="590"/>
      <c r="I38" s="589"/>
      <c r="J38" s="589"/>
      <c r="K38" s="588"/>
      <c r="L38" s="588"/>
      <c r="M38" s="588"/>
      <c r="N38" s="588"/>
      <c r="O38" s="588"/>
      <c r="P38" s="588"/>
    </row>
    <row r="39" spans="1:16" ht="12.75" hidden="1" x14ac:dyDescent="0.2">
      <c r="A39" s="820"/>
      <c r="B39" s="585"/>
      <c r="C39" s="585"/>
      <c r="D39" s="585"/>
      <c r="E39" s="585"/>
      <c r="F39" s="585"/>
      <c r="G39" s="584"/>
      <c r="H39" s="584"/>
      <c r="I39" s="583"/>
      <c r="J39" s="583"/>
      <c r="K39" s="582"/>
      <c r="L39" s="582"/>
      <c r="M39" s="582"/>
      <c r="N39" s="582"/>
      <c r="O39" s="582"/>
      <c r="P39" s="582"/>
    </row>
    <row r="40" spans="1:16" ht="19.5" hidden="1" x14ac:dyDescent="0.3">
      <c r="A40" s="819" t="s">
        <v>23</v>
      </c>
      <c r="B40" s="818"/>
      <c r="C40" s="818"/>
      <c r="D40" s="818"/>
      <c r="E40" s="818"/>
      <c r="F40" s="818"/>
      <c r="G40" s="817"/>
      <c r="H40" s="817"/>
      <c r="I40" s="816"/>
      <c r="J40" s="816"/>
      <c r="K40" s="815"/>
      <c r="L40" s="814">
        <f ca="1">L44+L59+L72+L94+L125+L139+L157+L173+L186+L266+L282+L303+L320+L333+L356</f>
        <v>2453398</v>
      </c>
      <c r="M40" s="814">
        <f ca="1">M44+M59+M72+M94+M125+M139+M157+M173+M186+M266+M282+M303+M320+M333+M356</f>
        <v>2034404</v>
      </c>
      <c r="N40" s="814">
        <f ca="1">N44+N59+N72+N94+N125+N139+N157+N173+N186+N266+N282+N303+N320+N333+N356</f>
        <v>743729.99</v>
      </c>
      <c r="O40" s="814">
        <f ca="1">IF(L40&gt;0,N40*100/L40,0)</f>
        <v>30.31428206919546</v>
      </c>
      <c r="P40" s="814">
        <f ca="1">IF(M40&gt;0,N40*100/M40,0)</f>
        <v>36.557635061669167</v>
      </c>
    </row>
    <row r="41" spans="1:16" ht="19.5" x14ac:dyDescent="0.3">
      <c r="A41" s="813" t="s">
        <v>24</v>
      </c>
      <c r="B41" s="812"/>
      <c r="C41" s="812"/>
      <c r="D41" s="812"/>
      <c r="E41" s="812"/>
      <c r="F41" s="812"/>
      <c r="G41" s="812"/>
      <c r="H41" s="812"/>
      <c r="I41" s="811"/>
      <c r="J41" s="811"/>
      <c r="K41" s="810"/>
      <c r="L41" s="810"/>
      <c r="M41" s="810"/>
      <c r="N41" s="810"/>
      <c r="O41" s="810"/>
      <c r="P41" s="809"/>
    </row>
    <row r="42" spans="1:16" ht="19.5" x14ac:dyDescent="0.3">
      <c r="A42" s="807"/>
      <c r="B42" s="808" t="s">
        <v>25</v>
      </c>
      <c r="C42" s="807"/>
      <c r="D42" s="807"/>
      <c r="E42" s="807"/>
      <c r="F42" s="807"/>
      <c r="G42" s="806"/>
      <c r="H42" s="806"/>
      <c r="I42" s="805"/>
      <c r="J42" s="805"/>
      <c r="K42" s="804"/>
      <c r="L42" s="804"/>
      <c r="M42" s="804"/>
      <c r="N42" s="804"/>
      <c r="O42" s="804"/>
      <c r="P42" s="804"/>
    </row>
    <row r="43" spans="1:16" ht="12.75" hidden="1" x14ac:dyDescent="0.2">
      <c r="A43" s="803"/>
      <c r="B43" s="591"/>
      <c r="C43" s="591"/>
      <c r="D43" s="591"/>
      <c r="E43" s="591"/>
      <c r="F43" s="591"/>
      <c r="G43" s="590"/>
      <c r="H43" s="590"/>
      <c r="I43" s="589"/>
      <c r="J43" s="589"/>
      <c r="K43" s="588"/>
      <c r="L43" s="588"/>
      <c r="M43" s="588"/>
      <c r="N43" s="588"/>
      <c r="O43" s="588"/>
      <c r="P43" s="588"/>
    </row>
    <row r="44" spans="1:16" ht="19.5" x14ac:dyDescent="0.3">
      <c r="A44" s="795"/>
      <c r="B44" s="793"/>
      <c r="C44" s="802" t="s">
        <v>16</v>
      </c>
      <c r="D44" s="801" t="s">
        <v>17</v>
      </c>
      <c r="E44" s="793"/>
      <c r="F44" s="793"/>
      <c r="G44" s="792"/>
      <c r="H44" s="800" t="s">
        <v>12</v>
      </c>
      <c r="I44" s="790"/>
      <c r="J44" s="790"/>
      <c r="K44" s="789"/>
      <c r="L44" s="799">
        <f ca="1">L45+L46</f>
        <v>455288</v>
      </c>
      <c r="M44" s="799">
        <f ca="1">M45+M46</f>
        <v>464084</v>
      </c>
      <c r="N44" s="799">
        <f ca="1">N45+N46</f>
        <v>205742</v>
      </c>
      <c r="O44" s="799">
        <f ca="1">IF(L44&gt;0,N44*100/L44,0)</f>
        <v>45.189418565830856</v>
      </c>
      <c r="P44" s="799">
        <f ca="1">IF(M44&gt;0,N44*100/M44,0)</f>
        <v>44.332922488170247</v>
      </c>
    </row>
    <row r="45" spans="1:16" ht="18.75" hidden="1" x14ac:dyDescent="0.25">
      <c r="A45" s="795"/>
      <c r="B45" s="793"/>
      <c r="C45" s="793"/>
      <c r="D45" s="793"/>
      <c r="E45" s="798" t="s">
        <v>18</v>
      </c>
      <c r="F45" s="793"/>
      <c r="G45" s="792"/>
      <c r="H45" s="797" t="s">
        <v>12</v>
      </c>
      <c r="I45" s="790"/>
      <c r="J45" s="790"/>
      <c r="K45" s="789"/>
      <c r="L45" s="796">
        <f>L48+L51</f>
        <v>0</v>
      </c>
      <c r="M45" s="796">
        <f>M48+M51</f>
        <v>0</v>
      </c>
      <c r="N45" s="796">
        <f>N48+N51</f>
        <v>0</v>
      </c>
      <c r="O45" s="796">
        <f>IF(L45&gt;0,N45*100/L45,0)</f>
        <v>0</v>
      </c>
      <c r="P45" s="796">
        <f>IF(M45&gt;0,N45*100/M45,0)</f>
        <v>0</v>
      </c>
    </row>
    <row r="46" spans="1:16" ht="18.75" x14ac:dyDescent="0.25">
      <c r="A46" s="795"/>
      <c r="B46" s="793"/>
      <c r="C46" s="793"/>
      <c r="D46" s="793"/>
      <c r="E46" s="794" t="s">
        <v>19</v>
      </c>
      <c r="F46" s="793"/>
      <c r="G46" s="792"/>
      <c r="H46" s="791" t="s">
        <v>12</v>
      </c>
      <c r="I46" s="790"/>
      <c r="J46" s="790"/>
      <c r="K46" s="789"/>
      <c r="L46" s="788">
        <f ca="1">L49+L52</f>
        <v>455288</v>
      </c>
      <c r="M46" s="788">
        <f ca="1">M49+M52</f>
        <v>464084</v>
      </c>
      <c r="N46" s="788">
        <f ca="1">N49+N52</f>
        <v>205742</v>
      </c>
      <c r="O46" s="788">
        <f ca="1">IF(L46&gt;0,N46*100/L46,0)</f>
        <v>45.189418565830856</v>
      </c>
      <c r="P46" s="788">
        <f ca="1">IF(M46&gt;0,N46*100/M46,0)</f>
        <v>44.332922488170247</v>
      </c>
    </row>
    <row r="47" spans="1:16" ht="18.75" x14ac:dyDescent="0.25">
      <c r="A47" s="756"/>
      <c r="B47" s="418"/>
      <c r="C47" s="418"/>
      <c r="D47" s="547" t="s">
        <v>20</v>
      </c>
      <c r="E47" s="418"/>
      <c r="F47" s="418"/>
      <c r="G47" s="422"/>
      <c r="H47" s="569" t="s">
        <v>12</v>
      </c>
      <c r="I47" s="427"/>
      <c r="J47" s="427"/>
      <c r="K47" s="428"/>
      <c r="L47" s="425">
        <f ca="1">L48+L49</f>
        <v>455288</v>
      </c>
      <c r="M47" s="425">
        <f ca="1">M48+M49</f>
        <v>464084</v>
      </c>
      <c r="N47" s="425">
        <f ca="1">N48+N49</f>
        <v>205742</v>
      </c>
      <c r="O47" s="425">
        <f ca="1">IF(L47&gt;0,N47*100/L47,0)</f>
        <v>45.189418565830856</v>
      </c>
      <c r="P47" s="425">
        <f ca="1">IF(M47&gt;0,N47*100/M47,0)</f>
        <v>44.332922488170247</v>
      </c>
    </row>
    <row r="48" spans="1:16" ht="18.75" hidden="1" x14ac:dyDescent="0.25">
      <c r="A48" s="756"/>
      <c r="B48" s="418"/>
      <c r="C48" s="418"/>
      <c r="D48" s="418"/>
      <c r="E48" s="546" t="s">
        <v>18</v>
      </c>
      <c r="F48" s="418"/>
      <c r="G48" s="422"/>
      <c r="H48" s="574" t="s">
        <v>12</v>
      </c>
      <c r="I48" s="427"/>
      <c r="J48" s="427"/>
      <c r="K48" s="428"/>
      <c r="L48" s="544">
        <v>0</v>
      </c>
      <c r="M48" s="544">
        <v>0</v>
      </c>
      <c r="N48" s="544">
        <v>0</v>
      </c>
      <c r="O48" s="544">
        <f>IF(L48&gt;0,N48*100/L48,0)</f>
        <v>0</v>
      </c>
      <c r="P48" s="544">
        <f>IF(M48&gt;0,N48*100/M48,0)</f>
        <v>0</v>
      </c>
    </row>
    <row r="49" spans="1:16" ht="18.75" x14ac:dyDescent="0.25">
      <c r="A49" s="756"/>
      <c r="B49" s="418"/>
      <c r="C49" s="418"/>
      <c r="D49" s="418"/>
      <c r="E49" s="293" t="s">
        <v>19</v>
      </c>
      <c r="F49" s="418"/>
      <c r="G49" s="422"/>
      <c r="H49" s="569" t="s">
        <v>12</v>
      </c>
      <c r="I49" s="427"/>
      <c r="J49" s="427"/>
      <c r="K49" s="428"/>
      <c r="L49" s="425">
        <f ca="1">IFERROR(__xludf.DUMMYFUNCTION("IMPORTRANGE(""https://docs.google.com/spreadsheets/d/1-uDff_7J0KD5mKrp0Vvzr7lt3OU09vwQwhkpOPPYv2Y/edit?usp=sharing"",""งบพรบ!P88"")"),455288)</f>
        <v>455288</v>
      </c>
      <c r="M49" s="425">
        <f ca="1">IFERROR(__xludf.DUMMYFUNCTION("IMPORTRANGE(""https://docs.google.com/spreadsheets/d/1-uDff_7J0KD5mKrp0Vvzr7lt3OU09vwQwhkpOPPYv2Y/edit?usp=sharing"",""งบพรบ!V88"")"),464084)</f>
        <v>464084</v>
      </c>
      <c r="N49" s="425">
        <f ca="1">IFERROR(__xludf.DUMMYFUNCTION("IMPORTRANGE(""https://docs.google.com/spreadsheets/d/1-uDff_7J0KD5mKrp0Vvzr7lt3OU09vwQwhkpOPPYv2Y/edit?usp=sharing"",""งบพรบ!Y88"")"),205742)</f>
        <v>205742</v>
      </c>
      <c r="O49" s="425">
        <f ca="1">IF(L49&gt;0,N49*100/L49,0)</f>
        <v>45.189418565830856</v>
      </c>
      <c r="P49" s="425">
        <f ca="1">IF(M49&gt;0,N49*100/M49,0)</f>
        <v>44.332922488170247</v>
      </c>
    </row>
    <row r="50" spans="1:16" ht="18.75" x14ac:dyDescent="0.25">
      <c r="A50" s="756"/>
      <c r="B50" s="418"/>
      <c r="C50" s="418"/>
      <c r="D50" s="547" t="s">
        <v>21</v>
      </c>
      <c r="E50" s="418"/>
      <c r="F50" s="418"/>
      <c r="G50" s="422"/>
      <c r="H50" s="569" t="s">
        <v>12</v>
      </c>
      <c r="I50" s="427"/>
      <c r="J50" s="427"/>
      <c r="K50" s="428"/>
      <c r="L50" s="425">
        <f ca="1">L51+L52</f>
        <v>0</v>
      </c>
      <c r="M50" s="425">
        <f ca="1">M51+M52</f>
        <v>0</v>
      </c>
      <c r="N50" s="425">
        <f ca="1">N51+N52</f>
        <v>0</v>
      </c>
      <c r="O50" s="425">
        <f ca="1">IF(L50&gt;0,N50*100/L50,0)</f>
        <v>0</v>
      </c>
      <c r="P50" s="425">
        <f ca="1">IF(M50&gt;0,N50*100/M50,0)</f>
        <v>0</v>
      </c>
    </row>
    <row r="51" spans="1:16" ht="18.75" hidden="1" x14ac:dyDescent="0.25">
      <c r="A51" s="756"/>
      <c r="B51" s="418"/>
      <c r="C51" s="418"/>
      <c r="D51" s="418"/>
      <c r="E51" s="546" t="s">
        <v>18</v>
      </c>
      <c r="F51" s="418"/>
      <c r="G51" s="422"/>
      <c r="H51" s="574" t="s">
        <v>12</v>
      </c>
      <c r="I51" s="427"/>
      <c r="J51" s="427"/>
      <c r="K51" s="428"/>
      <c r="L51" s="544">
        <v>0</v>
      </c>
      <c r="M51" s="544">
        <v>0</v>
      </c>
      <c r="N51" s="544">
        <v>0</v>
      </c>
      <c r="O51" s="544">
        <f>IF(L51&gt;0,N51*100/L51,0)</f>
        <v>0</v>
      </c>
      <c r="P51" s="544">
        <f>IF(M51&gt;0,N51*100/M51,0)</f>
        <v>0</v>
      </c>
    </row>
    <row r="52" spans="1:16" ht="18.75" x14ac:dyDescent="0.25">
      <c r="A52" s="756"/>
      <c r="B52" s="418"/>
      <c r="C52" s="418"/>
      <c r="D52" s="418"/>
      <c r="E52" s="293" t="s">
        <v>19</v>
      </c>
      <c r="F52" s="418"/>
      <c r="G52" s="422"/>
      <c r="H52" s="569" t="s">
        <v>12</v>
      </c>
      <c r="I52" s="427"/>
      <c r="J52" s="427"/>
      <c r="K52" s="428"/>
      <c r="L52" s="425">
        <f ca="1">IFERROR(__xludf.DUMMYFUNCTION("IMPORTRANGE(""https://docs.google.com/spreadsheets/d/1-uDff_7J0KD5mKrp0Vvzr7lt3OU09vwQwhkpOPPYv2Y/edit?usp=sharing"",""งบพรบ!S88"")"),0)</f>
        <v>0</v>
      </c>
      <c r="M52" s="425">
        <f ca="1">IFERROR(__xludf.DUMMYFUNCTION("IMPORTRANGE(""https://docs.google.com/spreadsheets/d/1-uDff_7J0KD5mKrp0Vvzr7lt3OU09vwQwhkpOPPYv2Y/edit?usp=sharing"",""งบพรบ!W88"")"),0)</f>
        <v>0</v>
      </c>
      <c r="N52" s="425">
        <f ca="1">IFERROR(__xludf.DUMMYFUNCTION("IMPORTRANGE(""https://docs.google.com/spreadsheets/d/1-uDff_7J0KD5mKrp0Vvzr7lt3OU09vwQwhkpOPPYv2Y/edit?usp=sharing"",""งบพรบ!Z88"")"),0)</f>
        <v>0</v>
      </c>
      <c r="O52" s="425">
        <f ca="1">IF(L52&gt;0,N52*100/L52,0)</f>
        <v>0</v>
      </c>
      <c r="P52" s="425">
        <f ca="1">IF(M52&gt;0,N52*100/M52,0)</f>
        <v>0</v>
      </c>
    </row>
    <row r="53" spans="1:16" ht="18.75" hidden="1" x14ac:dyDescent="0.25">
      <c r="A53" s="756"/>
      <c r="B53" s="418"/>
      <c r="C53" s="418"/>
      <c r="D53" s="547" t="s">
        <v>22</v>
      </c>
      <c r="E53" s="418"/>
      <c r="F53" s="418"/>
      <c r="G53" s="422"/>
      <c r="H53" s="569" t="s">
        <v>12</v>
      </c>
      <c r="I53" s="427"/>
      <c r="J53" s="427"/>
      <c r="K53" s="428"/>
      <c r="L53" s="425"/>
      <c r="M53" s="425"/>
      <c r="N53" s="425"/>
      <c r="O53" s="425"/>
      <c r="P53" s="425"/>
    </row>
    <row r="54" spans="1:16" ht="18.75" hidden="1" x14ac:dyDescent="0.25">
      <c r="A54" s="756"/>
      <c r="B54" s="418"/>
      <c r="C54" s="418"/>
      <c r="D54" s="418"/>
      <c r="E54" s="546" t="s">
        <v>18</v>
      </c>
      <c r="F54" s="418"/>
      <c r="G54" s="422"/>
      <c r="H54" s="574" t="s">
        <v>12</v>
      </c>
      <c r="I54" s="427"/>
      <c r="J54" s="427"/>
      <c r="K54" s="428"/>
      <c r="L54" s="544"/>
      <c r="M54" s="544"/>
      <c r="N54" s="544"/>
      <c r="O54" s="544"/>
      <c r="P54" s="544"/>
    </row>
    <row r="55" spans="1:16" ht="18.75" hidden="1" x14ac:dyDescent="0.25">
      <c r="A55" s="755"/>
      <c r="B55" s="524"/>
      <c r="C55" s="524"/>
      <c r="D55" s="524"/>
      <c r="E55" s="754" t="s">
        <v>19</v>
      </c>
      <c r="F55" s="524"/>
      <c r="G55" s="523"/>
      <c r="H55" s="753" t="s">
        <v>12</v>
      </c>
      <c r="I55" s="522"/>
      <c r="J55" s="522"/>
      <c r="K55" s="521"/>
      <c r="L55" s="752"/>
      <c r="M55" s="752"/>
      <c r="N55" s="752"/>
      <c r="O55" s="752"/>
      <c r="P55" s="752"/>
    </row>
    <row r="56" spans="1:16" ht="19.5" x14ac:dyDescent="0.3">
      <c r="A56" s="787" t="s">
        <v>26</v>
      </c>
      <c r="B56" s="492"/>
      <c r="C56" s="492"/>
      <c r="D56" s="492"/>
      <c r="E56" s="492"/>
      <c r="F56" s="492"/>
      <c r="G56" s="493"/>
      <c r="H56" s="786"/>
      <c r="I56" s="785"/>
      <c r="J56" s="785"/>
      <c r="K56" s="784"/>
      <c r="L56" s="784"/>
      <c r="M56" s="784"/>
      <c r="N56" s="784"/>
      <c r="O56" s="784"/>
      <c r="P56" s="783"/>
    </row>
    <row r="57" spans="1:16" ht="19.5" x14ac:dyDescent="0.3">
      <c r="A57" s="782"/>
      <c r="B57" s="781" t="s">
        <v>27</v>
      </c>
      <c r="C57" s="497"/>
      <c r="D57" s="497"/>
      <c r="E57" s="497"/>
      <c r="F57" s="497"/>
      <c r="G57" s="498"/>
      <c r="H57" s="780"/>
      <c r="I57" s="779"/>
      <c r="J57" s="779"/>
      <c r="K57" s="778"/>
      <c r="L57" s="778"/>
      <c r="M57" s="778"/>
      <c r="N57" s="778"/>
      <c r="O57" s="778"/>
      <c r="P57" s="778"/>
    </row>
    <row r="58" spans="1:16" ht="19.5" x14ac:dyDescent="0.3">
      <c r="A58" s="777"/>
      <c r="B58" s="776" t="s">
        <v>28</v>
      </c>
      <c r="C58" s="775"/>
      <c r="D58" s="775"/>
      <c r="E58" s="775"/>
      <c r="F58" s="775"/>
      <c r="G58" s="774"/>
      <c r="H58" s="774"/>
      <c r="I58" s="773"/>
      <c r="J58" s="773"/>
      <c r="K58" s="772"/>
      <c r="L58" s="772"/>
      <c r="M58" s="772"/>
      <c r="N58" s="772"/>
      <c r="O58" s="772"/>
      <c r="P58" s="772"/>
    </row>
    <row r="59" spans="1:16" ht="19.5" x14ac:dyDescent="0.3">
      <c r="A59" s="764"/>
      <c r="B59" s="762"/>
      <c r="C59" s="771" t="s">
        <v>16</v>
      </c>
      <c r="D59" s="770" t="s">
        <v>17</v>
      </c>
      <c r="E59" s="762"/>
      <c r="F59" s="762"/>
      <c r="G59" s="761"/>
      <c r="H59" s="769" t="s">
        <v>12</v>
      </c>
      <c r="I59" s="759"/>
      <c r="J59" s="759"/>
      <c r="K59" s="758"/>
      <c r="L59" s="768">
        <f ca="1">L60+L61</f>
        <v>363900</v>
      </c>
      <c r="M59" s="768">
        <f ca="1">M60+M61</f>
        <v>275200</v>
      </c>
      <c r="N59" s="768">
        <f ca="1">N60+N61</f>
        <v>120563.79</v>
      </c>
      <c r="O59" s="768">
        <f ca="1">IF(L59&gt;0,N59*100/L59,0)</f>
        <v>33.131022258862323</v>
      </c>
      <c r="P59" s="768">
        <f ca="1">IF(M59&gt;0,N59*100/M59,0)</f>
        <v>43.809516715116281</v>
      </c>
    </row>
    <row r="60" spans="1:16" ht="18.75" hidden="1" x14ac:dyDescent="0.25">
      <c r="A60" s="764"/>
      <c r="B60" s="762"/>
      <c r="C60" s="762"/>
      <c r="D60" s="762"/>
      <c r="E60" s="767" t="s">
        <v>18</v>
      </c>
      <c r="F60" s="762"/>
      <c r="G60" s="761"/>
      <c r="H60" s="766" t="s">
        <v>12</v>
      </c>
      <c r="I60" s="759"/>
      <c r="J60" s="759"/>
      <c r="K60" s="758"/>
      <c r="L60" s="765">
        <f>L63+L66</f>
        <v>0</v>
      </c>
      <c r="M60" s="765">
        <f>M63+M66</f>
        <v>0</v>
      </c>
      <c r="N60" s="765">
        <f>N63+N66</f>
        <v>0</v>
      </c>
      <c r="O60" s="765">
        <f>IF(L60&gt;0,N60*100/L60,0)</f>
        <v>0</v>
      </c>
      <c r="P60" s="765">
        <f>IF(M60&gt;0,N60*100/M60,0)</f>
        <v>0</v>
      </c>
    </row>
    <row r="61" spans="1:16" ht="18.75" x14ac:dyDescent="0.25">
      <c r="A61" s="764"/>
      <c r="B61" s="762"/>
      <c r="C61" s="762"/>
      <c r="D61" s="762"/>
      <c r="E61" s="763" t="s">
        <v>19</v>
      </c>
      <c r="F61" s="762"/>
      <c r="G61" s="761"/>
      <c r="H61" s="760" t="s">
        <v>12</v>
      </c>
      <c r="I61" s="759"/>
      <c r="J61" s="759"/>
      <c r="K61" s="758"/>
      <c r="L61" s="757">
        <f ca="1">L64+L67</f>
        <v>363900</v>
      </c>
      <c r="M61" s="757">
        <f ca="1">M64+M67</f>
        <v>275200</v>
      </c>
      <c r="N61" s="757">
        <f ca="1">N64+N67</f>
        <v>120563.79</v>
      </c>
      <c r="O61" s="757">
        <f ca="1">IF(L61&gt;0,N61*100/L61,0)</f>
        <v>33.131022258862323</v>
      </c>
      <c r="P61" s="757">
        <f ca="1">IF(M61&gt;0,N61*100/M61,0)</f>
        <v>43.809516715116281</v>
      </c>
    </row>
    <row r="62" spans="1:16" ht="18.75" x14ac:dyDescent="0.25">
      <c r="A62" s="756"/>
      <c r="B62" s="418"/>
      <c r="C62" s="418"/>
      <c r="D62" s="547" t="s">
        <v>20</v>
      </c>
      <c r="E62" s="418"/>
      <c r="F62" s="418"/>
      <c r="G62" s="422"/>
      <c r="H62" s="569" t="s">
        <v>12</v>
      </c>
      <c r="I62" s="427"/>
      <c r="J62" s="427"/>
      <c r="K62" s="428"/>
      <c r="L62" s="425">
        <f ca="1">L63+L64</f>
        <v>363900</v>
      </c>
      <c r="M62" s="425">
        <f ca="1">M63+M64</f>
        <v>275200</v>
      </c>
      <c r="N62" s="425">
        <f ca="1">N63+N64</f>
        <v>120563.79</v>
      </c>
      <c r="O62" s="425">
        <f ca="1">IF(L62&gt;0,N62*100/L62,0)</f>
        <v>33.131022258862323</v>
      </c>
      <c r="P62" s="425">
        <f ca="1">IF(M62&gt;0,N62*100/M62,0)</f>
        <v>43.809516715116281</v>
      </c>
    </row>
    <row r="63" spans="1:16" ht="18.75" hidden="1" x14ac:dyDescent="0.25">
      <c r="A63" s="756"/>
      <c r="B63" s="418"/>
      <c r="C63" s="418"/>
      <c r="D63" s="418"/>
      <c r="E63" s="546" t="s">
        <v>18</v>
      </c>
      <c r="F63" s="418"/>
      <c r="G63" s="422"/>
      <c r="H63" s="574" t="s">
        <v>12</v>
      </c>
      <c r="I63" s="427"/>
      <c r="J63" s="427"/>
      <c r="K63" s="428"/>
      <c r="L63" s="544">
        <v>0</v>
      </c>
      <c r="M63" s="544">
        <v>0</v>
      </c>
      <c r="N63" s="544">
        <v>0</v>
      </c>
      <c r="O63" s="544">
        <f>IF(L63&gt;0,N63*100/L63,0)</f>
        <v>0</v>
      </c>
      <c r="P63" s="544">
        <f>IF(M63&gt;0,N63*100/M63,0)</f>
        <v>0</v>
      </c>
    </row>
    <row r="64" spans="1:16" ht="18.75" x14ac:dyDescent="0.25">
      <c r="A64" s="756"/>
      <c r="B64" s="418"/>
      <c r="C64" s="418"/>
      <c r="D64" s="418"/>
      <c r="E64" s="293" t="s">
        <v>19</v>
      </c>
      <c r="F64" s="418"/>
      <c r="G64" s="422"/>
      <c r="H64" s="569" t="s">
        <v>12</v>
      </c>
      <c r="I64" s="427"/>
      <c r="J64" s="427"/>
      <c r="K64" s="428"/>
      <c r="L64" s="425">
        <f ca="1">IFERROR(__xludf.DUMMYFUNCTION("IMPORTRANGE(""https://docs.google.com/spreadsheets/d/1-uDff_7J0KD5mKrp0Vvzr7lt3OU09vwQwhkpOPPYv2Y/edit?usp=sharing"",""งบพรบ!AC88"")"),363900)</f>
        <v>363900</v>
      </c>
      <c r="M64" s="425">
        <f ca="1">IFERROR(__xludf.DUMMYFUNCTION("IMPORTRANGE(""https://docs.google.com/spreadsheets/d/1-uDff_7J0KD5mKrp0Vvzr7lt3OU09vwQwhkpOPPYv2Y/edit?usp=sharing"",""งบพรบ!AH88"")"),275200)</f>
        <v>275200</v>
      </c>
      <c r="N64" s="425">
        <f ca="1">IFERROR(__xludf.DUMMYFUNCTION("IMPORTRANGE(""https://docs.google.com/spreadsheets/d/1-uDff_7J0KD5mKrp0Vvzr7lt3OU09vwQwhkpOPPYv2Y/edit?usp=sharing"",""งบพรบ!AJ88"")"),120563.79)</f>
        <v>120563.79</v>
      </c>
      <c r="O64" s="425">
        <f ca="1">IF(L64&gt;0,N64*100/L64,0)</f>
        <v>33.131022258862323</v>
      </c>
      <c r="P64" s="425">
        <f ca="1">IF(M64&gt;0,N64*100/M64,0)</f>
        <v>43.809516715116281</v>
      </c>
    </row>
    <row r="65" spans="1:16" ht="18.75" x14ac:dyDescent="0.25">
      <c r="A65" s="756"/>
      <c r="B65" s="418"/>
      <c r="C65" s="418"/>
      <c r="D65" s="547" t="s">
        <v>21</v>
      </c>
      <c r="E65" s="418"/>
      <c r="F65" s="418"/>
      <c r="G65" s="422"/>
      <c r="H65" s="569" t="s">
        <v>12</v>
      </c>
      <c r="I65" s="427"/>
      <c r="J65" s="427"/>
      <c r="K65" s="428"/>
      <c r="L65" s="425">
        <f ca="1">L66+L67</f>
        <v>0</v>
      </c>
      <c r="M65" s="425">
        <f ca="1">M66+M67</f>
        <v>0</v>
      </c>
      <c r="N65" s="425">
        <f ca="1">N66+N67</f>
        <v>0</v>
      </c>
      <c r="O65" s="425">
        <f ca="1">IF(L65&gt;0,N65*100/L65,0)</f>
        <v>0</v>
      </c>
      <c r="P65" s="425">
        <f ca="1">IF(M65&gt;0,N65*100/M65,0)</f>
        <v>0</v>
      </c>
    </row>
    <row r="66" spans="1:16" ht="18.75" hidden="1" x14ac:dyDescent="0.25">
      <c r="A66" s="756"/>
      <c r="B66" s="418"/>
      <c r="C66" s="418"/>
      <c r="D66" s="418"/>
      <c r="E66" s="546" t="s">
        <v>18</v>
      </c>
      <c r="F66" s="418"/>
      <c r="G66" s="422"/>
      <c r="H66" s="574" t="s">
        <v>12</v>
      </c>
      <c r="I66" s="427"/>
      <c r="J66" s="427"/>
      <c r="K66" s="428"/>
      <c r="L66" s="544">
        <v>0</v>
      </c>
      <c r="M66" s="544">
        <v>0</v>
      </c>
      <c r="N66" s="544">
        <v>0</v>
      </c>
      <c r="O66" s="544">
        <f>IF(L66&gt;0,N66*100/L66,0)</f>
        <v>0</v>
      </c>
      <c r="P66" s="544">
        <f>IF(M66&gt;0,N66*100/M66,0)</f>
        <v>0</v>
      </c>
    </row>
    <row r="67" spans="1:16" ht="18.75" x14ac:dyDescent="0.25">
      <c r="A67" s="755"/>
      <c r="B67" s="524"/>
      <c r="C67" s="524"/>
      <c r="D67" s="524"/>
      <c r="E67" s="754" t="s">
        <v>19</v>
      </c>
      <c r="F67" s="524"/>
      <c r="G67" s="523"/>
      <c r="H67" s="753" t="s">
        <v>12</v>
      </c>
      <c r="I67" s="522"/>
      <c r="J67" s="522"/>
      <c r="K67" s="521"/>
      <c r="L67" s="752">
        <f ca="1">IFERROR(__xludf.DUMMYFUNCTION("IMPORTRANGE(""https://docs.google.com/spreadsheets/d/1-uDff_7J0KD5mKrp0Vvzr7lt3OU09vwQwhkpOPPYv2Y/edit?usp=sharing"",""งบพรบ!AF88"")"),0)</f>
        <v>0</v>
      </c>
      <c r="M67" s="752">
        <f ca="1">IFERROR(__xludf.DUMMYFUNCTION("IMPORTRANGE(""https://docs.google.com/spreadsheets/d/1-uDff_7J0KD5mKrp0Vvzr7lt3OU09vwQwhkpOPPYv2Y/edit?usp=sharing"",""งบพรบ!AI88"")"),0)</f>
        <v>0</v>
      </c>
      <c r="N67" s="752">
        <f ca="1">IFERROR(__xludf.DUMMYFUNCTION("IMPORTRANGE(""https://docs.google.com/spreadsheets/d/1-uDff_7J0KD5mKrp0Vvzr7lt3OU09vwQwhkpOPPYv2Y/edit?usp=sharing"",""งบพรบ!AK88"")"),0)</f>
        <v>0</v>
      </c>
      <c r="O67" s="752">
        <f ca="1">IF(L67&gt;0,N67*100/L67,0)</f>
        <v>0</v>
      </c>
      <c r="P67" s="752">
        <f ca="1">IF(M67&gt;0,N67*100/M67,0)</f>
        <v>0</v>
      </c>
    </row>
    <row r="68" spans="1:16" ht="19.5" x14ac:dyDescent="0.3">
      <c r="A68" s="751" t="s">
        <v>29</v>
      </c>
      <c r="B68" s="750"/>
      <c r="C68" s="750"/>
      <c r="D68" s="750"/>
      <c r="E68" s="749"/>
      <c r="F68" s="749"/>
      <c r="G68" s="749"/>
      <c r="H68" s="749"/>
      <c r="I68" s="748"/>
      <c r="J68" s="748"/>
      <c r="K68" s="747"/>
      <c r="L68" s="747"/>
      <c r="M68" s="747"/>
      <c r="N68" s="747"/>
      <c r="O68" s="747"/>
      <c r="P68" s="746"/>
    </row>
    <row r="69" spans="1:16" ht="19.5" hidden="1" x14ac:dyDescent="0.3">
      <c r="A69" s="721" t="s">
        <v>30</v>
      </c>
      <c r="B69" s="719"/>
      <c r="C69" s="745"/>
      <c r="D69" s="719"/>
      <c r="E69" s="719"/>
      <c r="F69" s="719"/>
      <c r="G69" s="744"/>
      <c r="H69" s="744"/>
      <c r="I69" s="743"/>
      <c r="J69" s="743"/>
      <c r="K69" s="716"/>
      <c r="L69" s="716"/>
      <c r="M69" s="716"/>
      <c r="N69" s="716"/>
      <c r="O69" s="716"/>
      <c r="P69" s="716"/>
    </row>
    <row r="70" spans="1:16" ht="19.5" hidden="1" x14ac:dyDescent="0.3">
      <c r="A70" s="715"/>
      <c r="B70" s="714" t="s">
        <v>31</v>
      </c>
      <c r="C70" s="713"/>
      <c r="D70" s="723"/>
      <c r="E70" s="713"/>
      <c r="F70" s="713"/>
      <c r="G70" s="712"/>
      <c r="H70" s="722" t="s">
        <v>32</v>
      </c>
      <c r="I70" s="710">
        <f ca="1">I82</f>
        <v>0</v>
      </c>
      <c r="J70" s="710">
        <f>J82</f>
        <v>0</v>
      </c>
      <c r="K70" s="709">
        <f ca="1">IF(I70&gt;0,J70*100/I70,0)</f>
        <v>0</v>
      </c>
      <c r="L70" s="708"/>
      <c r="M70" s="708"/>
      <c r="N70" s="708"/>
      <c r="O70" s="708"/>
      <c r="P70" s="708"/>
    </row>
    <row r="71" spans="1:16" ht="19.5" hidden="1" x14ac:dyDescent="0.3">
      <c r="A71" s="715"/>
      <c r="B71" s="713"/>
      <c r="C71" s="713"/>
      <c r="D71" s="723"/>
      <c r="E71" s="713"/>
      <c r="F71" s="713"/>
      <c r="G71" s="712"/>
      <c r="H71" s="722" t="s">
        <v>33</v>
      </c>
      <c r="I71" s="710">
        <f ca="1">I83</f>
        <v>0</v>
      </c>
      <c r="J71" s="710">
        <f>J83</f>
        <v>0</v>
      </c>
      <c r="K71" s="709">
        <f ca="1">IF(I71&gt;0,J71*100/I71,0)</f>
        <v>0</v>
      </c>
      <c r="L71" s="708"/>
      <c r="M71" s="708"/>
      <c r="N71" s="708"/>
      <c r="O71" s="708"/>
      <c r="P71" s="708"/>
    </row>
    <row r="72" spans="1:16" ht="19.5" hidden="1" x14ac:dyDescent="0.3">
      <c r="A72" s="543"/>
      <c r="B72" s="418"/>
      <c r="C72" s="537" t="s">
        <v>16</v>
      </c>
      <c r="D72" s="552" t="s">
        <v>17</v>
      </c>
      <c r="E72" s="418"/>
      <c r="F72" s="418"/>
      <c r="G72" s="422"/>
      <c r="H72" s="551" t="s">
        <v>12</v>
      </c>
      <c r="I72" s="427"/>
      <c r="J72" s="427"/>
      <c r="K72" s="428"/>
      <c r="L72" s="550">
        <f ca="1">L73+L74</f>
        <v>0</v>
      </c>
      <c r="M72" s="550">
        <f ca="1">M73+M74</f>
        <v>0</v>
      </c>
      <c r="N72" s="550">
        <f ca="1">N73+N74</f>
        <v>0</v>
      </c>
      <c r="O72" s="550">
        <f ca="1">IF(L72&gt;0,N72*100/L72,0)</f>
        <v>0</v>
      </c>
      <c r="P72" s="550">
        <f ca="1">IF(M72&gt;0,N72*100/M72,0)</f>
        <v>0</v>
      </c>
    </row>
    <row r="73" spans="1:16" ht="18.75" hidden="1" x14ac:dyDescent="0.25">
      <c r="A73" s="543"/>
      <c r="B73" s="418"/>
      <c r="C73" s="418"/>
      <c r="D73" s="418"/>
      <c r="E73" s="546" t="s">
        <v>18</v>
      </c>
      <c r="F73" s="418"/>
      <c r="G73" s="422"/>
      <c r="H73" s="549" t="s">
        <v>12</v>
      </c>
      <c r="I73" s="427"/>
      <c r="J73" s="427"/>
      <c r="K73" s="428"/>
      <c r="L73" s="544">
        <f>L76+L79</f>
        <v>0</v>
      </c>
      <c r="M73" s="544">
        <f>M76+M79</f>
        <v>0</v>
      </c>
      <c r="N73" s="544">
        <f>N76+N79</f>
        <v>0</v>
      </c>
      <c r="O73" s="544">
        <f>IF(L73&gt;0,N73*100/L73,0)</f>
        <v>0</v>
      </c>
      <c r="P73" s="544">
        <f>IF(M73&gt;0,N73*100/M73,0)</f>
        <v>0</v>
      </c>
    </row>
    <row r="74" spans="1:16" ht="18.75" hidden="1" x14ac:dyDescent="0.25">
      <c r="A74" s="543"/>
      <c r="B74" s="418"/>
      <c r="C74" s="418"/>
      <c r="D74" s="418"/>
      <c r="E74" s="293" t="s">
        <v>19</v>
      </c>
      <c r="F74" s="418"/>
      <c r="G74" s="422"/>
      <c r="H74" s="440" t="s">
        <v>12</v>
      </c>
      <c r="I74" s="427"/>
      <c r="J74" s="427"/>
      <c r="K74" s="428"/>
      <c r="L74" s="425">
        <f ca="1">L77+L80</f>
        <v>0</v>
      </c>
      <c r="M74" s="425">
        <f ca="1">M77+M80</f>
        <v>0</v>
      </c>
      <c r="N74" s="425">
        <f ca="1">N77+N80</f>
        <v>0</v>
      </c>
      <c r="O74" s="425">
        <f ca="1">IF(L74&gt;0,N74*100/L74,0)</f>
        <v>0</v>
      </c>
      <c r="P74" s="425">
        <f ca="1">IF(M74&gt;0,N74*100/M74,0)</f>
        <v>0</v>
      </c>
    </row>
    <row r="75" spans="1:16" ht="18.75" hidden="1" x14ac:dyDescent="0.25">
      <c r="A75" s="543"/>
      <c r="B75" s="418"/>
      <c r="C75" s="418"/>
      <c r="D75" s="547" t="s">
        <v>20</v>
      </c>
      <c r="E75" s="418"/>
      <c r="F75" s="418"/>
      <c r="G75" s="422"/>
      <c r="H75" s="548" t="s">
        <v>12</v>
      </c>
      <c r="I75" s="541"/>
      <c r="J75" s="541"/>
      <c r="K75" s="527"/>
      <c r="L75" s="425">
        <f ca="1">L76+L77</f>
        <v>0</v>
      </c>
      <c r="M75" s="425">
        <f ca="1">M76+M77</f>
        <v>0</v>
      </c>
      <c r="N75" s="425">
        <f ca="1">N76+N77</f>
        <v>0</v>
      </c>
      <c r="O75" s="425">
        <f ca="1">IF(L75&gt;0,N75*100/L75,0)</f>
        <v>0</v>
      </c>
      <c r="P75" s="425">
        <f ca="1">IF(M75&gt;0,N75*100/M75,0)</f>
        <v>0</v>
      </c>
    </row>
    <row r="76" spans="1:16" ht="18.75" hidden="1" x14ac:dyDescent="0.25">
      <c r="A76" s="543"/>
      <c r="B76" s="418"/>
      <c r="C76" s="418"/>
      <c r="D76" s="418"/>
      <c r="E76" s="546" t="s">
        <v>34</v>
      </c>
      <c r="F76" s="418"/>
      <c r="G76" s="422"/>
      <c r="H76" s="545" t="s">
        <v>12</v>
      </c>
      <c r="I76" s="541"/>
      <c r="J76" s="541"/>
      <c r="K76" s="527"/>
      <c r="L76" s="544">
        <v>0</v>
      </c>
      <c r="M76" s="544">
        <v>0</v>
      </c>
      <c r="N76" s="544">
        <v>0</v>
      </c>
      <c r="O76" s="544">
        <f>IF(L76&gt;0,N76*100/L76,0)</f>
        <v>0</v>
      </c>
      <c r="P76" s="544">
        <f>IF(M76&gt;0,N76*100/M76,0)</f>
        <v>0</v>
      </c>
    </row>
    <row r="77" spans="1:16" ht="18.75" hidden="1" x14ac:dyDescent="0.25">
      <c r="A77" s="543"/>
      <c r="B77" s="418"/>
      <c r="C77" s="418"/>
      <c r="D77" s="418"/>
      <c r="E77" s="293" t="s">
        <v>35</v>
      </c>
      <c r="F77" s="418"/>
      <c r="G77" s="422"/>
      <c r="H77" s="548" t="s">
        <v>12</v>
      </c>
      <c r="I77" s="541"/>
      <c r="J77" s="541"/>
      <c r="K77" s="527"/>
      <c r="L77" s="425">
        <f ca="1">IFERROR(__xludf.DUMMYFUNCTION("IMPORTRANGE(""https://docs.google.com/spreadsheets/d/1-uDff_7J0KD5mKrp0Vvzr7lt3OU09vwQwhkpOPPYv2Y/edit?usp=sharing"",""งบพรบ!AM88"")"),0)</f>
        <v>0</v>
      </c>
      <c r="M77" s="425">
        <f ca="1">IFERROR(__xludf.DUMMYFUNCTION("IMPORTRANGE(""https://docs.google.com/spreadsheets/d/1-uDff_7J0KD5mKrp0Vvzr7lt3OU09vwQwhkpOPPYv2Y/edit?usp=sharing"",""งบพรบ!AR88"")"),0)</f>
        <v>0</v>
      </c>
      <c r="N77" s="425">
        <f ca="1">IFERROR(__xludf.DUMMYFUNCTION("IMPORTRANGE(""https://docs.google.com/spreadsheets/d/1-uDff_7J0KD5mKrp0Vvzr7lt3OU09vwQwhkpOPPYv2Y/edit?usp=sharing"",""งบพรบ!AT88"")"),0)</f>
        <v>0</v>
      </c>
      <c r="O77" s="425">
        <f ca="1">IF(L77&gt;0,N77*100/L77,0)</f>
        <v>0</v>
      </c>
      <c r="P77" s="425">
        <f ca="1">IF(M77&gt;0,N77*100/M77,0)</f>
        <v>0</v>
      </c>
    </row>
    <row r="78" spans="1:16" ht="18.75" hidden="1" x14ac:dyDescent="0.25">
      <c r="A78" s="543"/>
      <c r="B78" s="418"/>
      <c r="C78" s="418"/>
      <c r="D78" s="547" t="s">
        <v>21</v>
      </c>
      <c r="E78" s="418"/>
      <c r="F78" s="418"/>
      <c r="G78" s="422"/>
      <c r="H78" s="542" t="s">
        <v>12</v>
      </c>
      <c r="I78" s="541"/>
      <c r="J78" s="541"/>
      <c r="K78" s="527"/>
      <c r="L78" s="425">
        <f ca="1">L79+L80</f>
        <v>0</v>
      </c>
      <c r="M78" s="425">
        <f ca="1">M79+M80</f>
        <v>0</v>
      </c>
      <c r="N78" s="425">
        <f ca="1">N79+N80</f>
        <v>0</v>
      </c>
      <c r="O78" s="425">
        <f ca="1">IF(L78&gt;0,N78*100/L78,0)</f>
        <v>0</v>
      </c>
      <c r="P78" s="425">
        <f ca="1">IF(M78&gt;0,N78*100/M78,0)</f>
        <v>0</v>
      </c>
    </row>
    <row r="79" spans="1:16" ht="18.75" hidden="1" x14ac:dyDescent="0.25">
      <c r="A79" s="543"/>
      <c r="B79" s="418"/>
      <c r="C79" s="418"/>
      <c r="D79" s="418"/>
      <c r="E79" s="546" t="s">
        <v>18</v>
      </c>
      <c r="F79" s="418"/>
      <c r="G79" s="422"/>
      <c r="H79" s="545" t="s">
        <v>12</v>
      </c>
      <c r="I79" s="541"/>
      <c r="J79" s="541"/>
      <c r="K79" s="527"/>
      <c r="L79" s="544">
        <v>0</v>
      </c>
      <c r="M79" s="428"/>
      <c r="N79" s="428"/>
      <c r="O79" s="544">
        <f>IF(L79&gt;0,N79*100/L79,0)</f>
        <v>0</v>
      </c>
      <c r="P79" s="544">
        <f>IF(M79&gt;0,N79*100/M79,0)</f>
        <v>0</v>
      </c>
    </row>
    <row r="80" spans="1:16" ht="18.75" hidden="1" x14ac:dyDescent="0.25">
      <c r="A80" s="543"/>
      <c r="B80" s="418"/>
      <c r="C80" s="418"/>
      <c r="D80" s="418"/>
      <c r="E80" s="293" t="s">
        <v>19</v>
      </c>
      <c r="F80" s="418"/>
      <c r="G80" s="422"/>
      <c r="H80" s="542" t="s">
        <v>12</v>
      </c>
      <c r="I80" s="541"/>
      <c r="J80" s="541"/>
      <c r="K80" s="527"/>
      <c r="L80" s="425">
        <f ca="1">IFERROR(__xludf.DUMMYFUNCTION("IMPORTRANGE(""https://docs.google.com/spreadsheets/d/1-uDff_7J0KD5mKrp0Vvzr7lt3OU09vwQwhkpOPPYv2Y/edit?usp=sharing"",""งบพรบ!AP88"")"),0)</f>
        <v>0</v>
      </c>
      <c r="M80" s="425">
        <f ca="1">IFERROR(__xludf.DUMMYFUNCTION("IMPORTRANGE(""https://docs.google.com/spreadsheets/d/1-uDff_7J0KD5mKrp0Vvzr7lt3OU09vwQwhkpOPPYv2Y/edit?usp=sharing"",""งบพรบ!AS88"")"),0)</f>
        <v>0</v>
      </c>
      <c r="N80" s="425">
        <f ca="1">IFERROR(__xludf.DUMMYFUNCTION("IMPORTRANGE(""https://docs.google.com/spreadsheets/d/1-uDff_7J0KD5mKrp0Vvzr7lt3OU09vwQwhkpOPPYv2Y/edit?usp=sharing"",""งบพรบ!AU88"")"),0)</f>
        <v>0</v>
      </c>
      <c r="O80" s="425">
        <f ca="1">IF(L80&gt;0,N80*100/L80,0)</f>
        <v>0</v>
      </c>
      <c r="P80" s="425">
        <f ca="1">IF(M80&gt;0,N80*100/M80,0)</f>
        <v>0</v>
      </c>
    </row>
    <row r="81" spans="1:16" ht="19.5" hidden="1" x14ac:dyDescent="0.3">
      <c r="A81" s="531"/>
      <c r="B81" s="430"/>
      <c r="C81" s="537" t="s">
        <v>16</v>
      </c>
      <c r="D81" s="536" t="s">
        <v>36</v>
      </c>
      <c r="E81" s="535"/>
      <c r="F81" s="535"/>
      <c r="G81" s="534"/>
      <c r="H81" s="530"/>
      <c r="I81" s="541"/>
      <c r="J81" s="541"/>
      <c r="K81" s="527"/>
      <c r="L81" s="527"/>
      <c r="M81" s="527"/>
      <c r="N81" s="527"/>
      <c r="O81" s="527"/>
      <c r="P81" s="527"/>
    </row>
    <row r="82" spans="1:16" ht="19.5" hidden="1" x14ac:dyDescent="0.3">
      <c r="A82" s="531"/>
      <c r="B82" s="430"/>
      <c r="C82" s="430"/>
      <c r="D82" s="532" t="s">
        <v>37</v>
      </c>
      <c r="E82" s="420"/>
      <c r="F82" s="420"/>
      <c r="G82" s="530"/>
      <c r="H82" s="599" t="s">
        <v>32</v>
      </c>
      <c r="I82" s="598">
        <f ca="1">I84+I86+I88</f>
        <v>0</v>
      </c>
      <c r="J82" s="598">
        <f>J84+J86+J88</f>
        <v>0</v>
      </c>
      <c r="K82" s="597">
        <f ca="1">IF(I82&gt;0,J82*100/I82,0)</f>
        <v>0</v>
      </c>
      <c r="L82" s="527"/>
      <c r="M82" s="527"/>
      <c r="N82" s="527"/>
      <c r="O82" s="527"/>
      <c r="P82" s="527"/>
    </row>
    <row r="83" spans="1:16" ht="19.5" hidden="1" x14ac:dyDescent="0.3">
      <c r="A83" s="531"/>
      <c r="B83" s="430"/>
      <c r="C83" s="430"/>
      <c r="D83" s="430"/>
      <c r="E83" s="420"/>
      <c r="F83" s="420"/>
      <c r="G83" s="530"/>
      <c r="H83" s="599" t="s">
        <v>33</v>
      </c>
      <c r="I83" s="598">
        <f ca="1">I85+I87+I89</f>
        <v>0</v>
      </c>
      <c r="J83" s="598">
        <f>J85+J87+J89</f>
        <v>0</v>
      </c>
      <c r="K83" s="597">
        <f ca="1">IF(I83&gt;0,J83*100/I83,0)</f>
        <v>0</v>
      </c>
      <c r="L83" s="527"/>
      <c r="M83" s="527"/>
      <c r="N83" s="527"/>
      <c r="O83" s="527"/>
      <c r="P83" s="527"/>
    </row>
    <row r="84" spans="1:16" ht="18.75" hidden="1" x14ac:dyDescent="0.25">
      <c r="A84" s="531"/>
      <c r="B84" s="430"/>
      <c r="C84" s="430"/>
      <c r="D84" s="430"/>
      <c r="E84" s="421" t="s">
        <v>38</v>
      </c>
      <c r="F84" s="420"/>
      <c r="G84" s="530"/>
      <c r="H84" s="529" t="s">
        <v>32</v>
      </c>
      <c r="I84" s="595">
        <f ca="1">IFERROR(__xludf.DUMMYFUNCTION("IMPORTRANGE(""https://docs.google.com/spreadsheets/d/1eHaY18a8A9IcSdp1K8H6x8fbOy06t2VsZHhMHf-1x7Y/edit?usp=sharing"",""แผน!H88"")"),0)</f>
        <v>0</v>
      </c>
      <c r="J84" s="568">
        <v>0</v>
      </c>
      <c r="K84" s="594">
        <f ca="1">IF(I84&gt;0,J84*100/I84,0)</f>
        <v>0</v>
      </c>
      <c r="L84" s="527"/>
      <c r="M84" s="527"/>
      <c r="N84" s="527"/>
      <c r="O84" s="527"/>
      <c r="P84" s="527"/>
    </row>
    <row r="85" spans="1:16" ht="18.75" hidden="1" x14ac:dyDescent="0.25">
      <c r="A85" s="531"/>
      <c r="B85" s="430"/>
      <c r="C85" s="430"/>
      <c r="D85" s="430"/>
      <c r="E85" s="420"/>
      <c r="F85" s="420"/>
      <c r="G85" s="530"/>
      <c r="H85" s="529" t="s">
        <v>33</v>
      </c>
      <c r="I85" s="595">
        <f ca="1">IFERROR(__xludf.DUMMYFUNCTION("IMPORTRANGE(""https://docs.google.com/spreadsheets/d/1eHaY18a8A9IcSdp1K8H6x8fbOy06t2VsZHhMHf-1x7Y/edit?usp=sharing"",""แผน!I88"")"),0)</f>
        <v>0</v>
      </c>
      <c r="J85" s="568">
        <v>0</v>
      </c>
      <c r="K85" s="594">
        <f ca="1">IF(I85&gt;0,J85*100/I85,0)</f>
        <v>0</v>
      </c>
      <c r="L85" s="527"/>
      <c r="M85" s="527"/>
      <c r="N85" s="527"/>
      <c r="O85" s="527"/>
      <c r="P85" s="527"/>
    </row>
    <row r="86" spans="1:16" ht="18.75" hidden="1" x14ac:dyDescent="0.25">
      <c r="A86" s="531"/>
      <c r="B86" s="430"/>
      <c r="C86" s="430"/>
      <c r="D86" s="430"/>
      <c r="E86" s="421" t="s">
        <v>39</v>
      </c>
      <c r="F86" s="420"/>
      <c r="G86" s="530"/>
      <c r="H86" s="529" t="s">
        <v>32</v>
      </c>
      <c r="I86" s="595">
        <f ca="1">IFERROR(__xludf.DUMMYFUNCTION("IMPORTRANGE(""https://docs.google.com/spreadsheets/d/1eHaY18a8A9IcSdp1K8H6x8fbOy06t2VsZHhMHf-1x7Y/edit?usp=sharing"",""แผน!F88"")"),0)</f>
        <v>0</v>
      </c>
      <c r="J86" s="568">
        <v>0</v>
      </c>
      <c r="K86" s="594">
        <f ca="1">IF(I86&gt;0,J86*100/I86,0)</f>
        <v>0</v>
      </c>
      <c r="L86" s="527"/>
      <c r="M86" s="527"/>
      <c r="N86" s="527"/>
      <c r="O86" s="527"/>
      <c r="P86" s="527"/>
    </row>
    <row r="87" spans="1:16" ht="18.75" hidden="1" x14ac:dyDescent="0.25">
      <c r="A87" s="531"/>
      <c r="B87" s="430"/>
      <c r="C87" s="430"/>
      <c r="D87" s="430"/>
      <c r="E87" s="420"/>
      <c r="F87" s="420"/>
      <c r="G87" s="530"/>
      <c r="H87" s="529" t="s">
        <v>33</v>
      </c>
      <c r="I87" s="595">
        <f ca="1">IFERROR(__xludf.DUMMYFUNCTION("IMPORTRANGE(""https://docs.google.com/spreadsheets/d/1eHaY18a8A9IcSdp1K8H6x8fbOy06t2VsZHhMHf-1x7Y/edit?usp=sharing"",""แผน!G88"")"),0)</f>
        <v>0</v>
      </c>
      <c r="J87" s="568">
        <v>0</v>
      </c>
      <c r="K87" s="594">
        <f ca="1">IF(I87&gt;0,J87*100/I87,0)</f>
        <v>0</v>
      </c>
      <c r="L87" s="527"/>
      <c r="M87" s="527"/>
      <c r="N87" s="527"/>
      <c r="O87" s="527"/>
      <c r="P87" s="527"/>
    </row>
    <row r="88" spans="1:16" ht="18.75" hidden="1" x14ac:dyDescent="0.25">
      <c r="A88" s="531"/>
      <c r="B88" s="430"/>
      <c r="C88" s="430"/>
      <c r="D88" s="430"/>
      <c r="E88" s="421" t="s">
        <v>40</v>
      </c>
      <c r="F88" s="420"/>
      <c r="G88" s="530"/>
      <c r="H88" s="529" t="s">
        <v>32</v>
      </c>
      <c r="I88" s="595">
        <f ca="1">IFERROR(__xludf.DUMMYFUNCTION("IMPORTRANGE(""https://docs.google.com/spreadsheets/d/1eHaY18a8A9IcSdp1K8H6x8fbOy06t2VsZHhMHf-1x7Y/edit?usp=sharing"",""แผน!D88"")"),0)</f>
        <v>0</v>
      </c>
      <c r="J88" s="568">
        <v>0</v>
      </c>
      <c r="K88" s="594">
        <f ca="1">IF(I88&gt;0,J88*100/I88,0)</f>
        <v>0</v>
      </c>
      <c r="L88" s="527"/>
      <c r="M88" s="527"/>
      <c r="N88" s="527"/>
      <c r="O88" s="527"/>
      <c r="P88" s="527"/>
    </row>
    <row r="89" spans="1:16" ht="18.75" hidden="1" x14ac:dyDescent="0.25">
      <c r="A89" s="531"/>
      <c r="B89" s="430"/>
      <c r="C89" s="430"/>
      <c r="D89" s="430"/>
      <c r="E89" s="420"/>
      <c r="F89" s="420"/>
      <c r="G89" s="530"/>
      <c r="H89" s="529" t="s">
        <v>33</v>
      </c>
      <c r="I89" s="595">
        <f ca="1">IFERROR(__xludf.DUMMYFUNCTION("IMPORTRANGE(""https://docs.google.com/spreadsheets/d/1eHaY18a8A9IcSdp1K8H6x8fbOy06t2VsZHhMHf-1x7Y/edit?usp=sharing"",""แผน!E88"")"),0)</f>
        <v>0</v>
      </c>
      <c r="J89" s="568">
        <v>0</v>
      </c>
      <c r="K89" s="594">
        <f ca="1">IF(I89&gt;0,J89*100/I89,0)</f>
        <v>0</v>
      </c>
      <c r="L89" s="527"/>
      <c r="M89" s="527"/>
      <c r="N89" s="527"/>
      <c r="O89" s="527"/>
      <c r="P89" s="527"/>
    </row>
    <row r="90" spans="1:16" ht="18.75" hidden="1" x14ac:dyDescent="0.25">
      <c r="A90" s="531"/>
      <c r="B90" s="430"/>
      <c r="C90" s="430"/>
      <c r="D90" s="532" t="s">
        <v>41</v>
      </c>
      <c r="E90" s="420"/>
      <c r="F90" s="420"/>
      <c r="G90" s="530"/>
      <c r="H90" s="533" t="s">
        <v>32</v>
      </c>
      <c r="I90" s="595">
        <f ca="1">IFERROR(__xludf.DUMMYFUNCTION("IMPORTRANGE(""https://docs.google.com/spreadsheets/d/1eHaY18a8A9IcSdp1K8H6x8fbOy06t2VsZHhMHf-1x7Y/edit?usp=sharing"",""แผน!J88"")"),0)</f>
        <v>0</v>
      </c>
      <c r="J90" s="568">
        <v>0</v>
      </c>
      <c r="K90" s="594">
        <f ca="1">IF(I90&gt;0,J90*100/I90,0)</f>
        <v>0</v>
      </c>
      <c r="L90" s="527"/>
      <c r="M90" s="527"/>
      <c r="N90" s="527"/>
      <c r="O90" s="527"/>
      <c r="P90" s="527"/>
    </row>
    <row r="91" spans="1:16" ht="19.5" hidden="1" x14ac:dyDescent="0.3">
      <c r="A91" s="721" t="s">
        <v>42</v>
      </c>
      <c r="B91" s="719"/>
      <c r="C91" s="745"/>
      <c r="D91" s="719"/>
      <c r="E91" s="719"/>
      <c r="F91" s="719"/>
      <c r="G91" s="744"/>
      <c r="H91" s="744"/>
      <c r="I91" s="743"/>
      <c r="J91" s="743"/>
      <c r="K91" s="716"/>
      <c r="L91" s="716"/>
      <c r="M91" s="716"/>
      <c r="N91" s="716"/>
      <c r="O91" s="716"/>
      <c r="P91" s="716"/>
    </row>
    <row r="92" spans="1:16" ht="19.5" hidden="1" x14ac:dyDescent="0.3">
      <c r="A92" s="715"/>
      <c r="B92" s="714" t="s">
        <v>43</v>
      </c>
      <c r="C92" s="713"/>
      <c r="D92" s="723"/>
      <c r="E92" s="713"/>
      <c r="F92" s="713"/>
      <c r="G92" s="712"/>
      <c r="H92" s="722" t="s">
        <v>44</v>
      </c>
      <c r="I92" s="710">
        <f ca="1">I108</f>
        <v>0</v>
      </c>
      <c r="J92" s="710">
        <f>J108</f>
        <v>0</v>
      </c>
      <c r="K92" s="709">
        <f ca="1">IF(I92&gt;0,J92*100/I92,0)</f>
        <v>0</v>
      </c>
      <c r="L92" s="708"/>
      <c r="M92" s="708"/>
      <c r="N92" s="708"/>
      <c r="O92" s="708"/>
      <c r="P92" s="708"/>
    </row>
    <row r="93" spans="1:16" ht="19.5" hidden="1" x14ac:dyDescent="0.3">
      <c r="A93" s="715"/>
      <c r="B93" s="713"/>
      <c r="C93" s="713"/>
      <c r="D93" s="723"/>
      <c r="E93" s="713"/>
      <c r="F93" s="713"/>
      <c r="G93" s="712"/>
      <c r="H93" s="722" t="s">
        <v>33</v>
      </c>
      <c r="I93" s="710">
        <f ca="1">I109</f>
        <v>0</v>
      </c>
      <c r="J93" s="710">
        <f>J109</f>
        <v>0</v>
      </c>
      <c r="K93" s="709">
        <f ca="1">IF(I93&gt;0,J93*100/I93,0)</f>
        <v>0</v>
      </c>
      <c r="L93" s="708"/>
      <c r="M93" s="708"/>
      <c r="N93" s="708"/>
      <c r="O93" s="708"/>
      <c r="P93" s="708"/>
    </row>
    <row r="94" spans="1:16" ht="19.5" hidden="1" x14ac:dyDescent="0.3">
      <c r="A94" s="543"/>
      <c r="B94" s="418"/>
      <c r="C94" s="537" t="s">
        <v>16</v>
      </c>
      <c r="D94" s="552" t="s">
        <v>17</v>
      </c>
      <c r="E94" s="418"/>
      <c r="F94" s="418"/>
      <c r="G94" s="422"/>
      <c r="H94" s="551" t="s">
        <v>12</v>
      </c>
      <c r="I94" s="427"/>
      <c r="J94" s="427"/>
      <c r="K94" s="428"/>
      <c r="L94" s="550">
        <f ca="1">L95+L96</f>
        <v>0</v>
      </c>
      <c r="M94" s="550">
        <f ca="1">M95+M96</f>
        <v>0</v>
      </c>
      <c r="N94" s="550">
        <f ca="1">N95+N96</f>
        <v>0</v>
      </c>
      <c r="O94" s="550">
        <f ca="1">IF(L94&gt;0,N94*100/L94,0)</f>
        <v>0</v>
      </c>
      <c r="P94" s="550">
        <f ca="1">IF(M94&gt;0,N94*100/M94,0)</f>
        <v>0</v>
      </c>
    </row>
    <row r="95" spans="1:16" ht="18.75" hidden="1" x14ac:dyDescent="0.25">
      <c r="A95" s="543"/>
      <c r="B95" s="418"/>
      <c r="C95" s="418"/>
      <c r="D95" s="418"/>
      <c r="E95" s="546" t="s">
        <v>18</v>
      </c>
      <c r="F95" s="418"/>
      <c r="G95" s="422"/>
      <c r="H95" s="549" t="s">
        <v>12</v>
      </c>
      <c r="I95" s="427"/>
      <c r="J95" s="427"/>
      <c r="K95" s="428"/>
      <c r="L95" s="544">
        <f>L98+L101</f>
        <v>0</v>
      </c>
      <c r="M95" s="544">
        <f>M98+M101</f>
        <v>0</v>
      </c>
      <c r="N95" s="544">
        <f>N98+N101</f>
        <v>0</v>
      </c>
      <c r="O95" s="544">
        <f>IF(L95&gt;0,N95*100/L95,0)</f>
        <v>0</v>
      </c>
      <c r="P95" s="544">
        <f>IF(M95&gt;0,N95*100/M95,0)</f>
        <v>0</v>
      </c>
    </row>
    <row r="96" spans="1:16" ht="18.75" hidden="1" x14ac:dyDescent="0.25">
      <c r="A96" s="543"/>
      <c r="B96" s="418"/>
      <c r="C96" s="418"/>
      <c r="D96" s="418"/>
      <c r="E96" s="293" t="s">
        <v>19</v>
      </c>
      <c r="F96" s="418"/>
      <c r="G96" s="422"/>
      <c r="H96" s="440" t="s">
        <v>12</v>
      </c>
      <c r="I96" s="427"/>
      <c r="J96" s="427"/>
      <c r="K96" s="428"/>
      <c r="L96" s="425">
        <f ca="1">L99+L102</f>
        <v>0</v>
      </c>
      <c r="M96" s="425">
        <f ca="1">M99+M102</f>
        <v>0</v>
      </c>
      <c r="N96" s="425">
        <f ca="1">N99+N102</f>
        <v>0</v>
      </c>
      <c r="O96" s="425">
        <f ca="1">IF(L96&gt;0,N96*100/L96,0)</f>
        <v>0</v>
      </c>
      <c r="P96" s="425">
        <f ca="1">IF(M96&gt;0,N96*100/M96,0)</f>
        <v>0</v>
      </c>
    </row>
    <row r="97" spans="1:16" ht="18.75" hidden="1" x14ac:dyDescent="0.25">
      <c r="A97" s="543"/>
      <c r="B97" s="418"/>
      <c r="C97" s="418"/>
      <c r="D97" s="547" t="s">
        <v>20</v>
      </c>
      <c r="E97" s="418"/>
      <c r="F97" s="418"/>
      <c r="G97" s="422"/>
      <c r="H97" s="548" t="s">
        <v>12</v>
      </c>
      <c r="I97" s="541"/>
      <c r="J97" s="541"/>
      <c r="K97" s="527"/>
      <c r="L97" s="425">
        <f ca="1">L98+L99</f>
        <v>0</v>
      </c>
      <c r="M97" s="425">
        <f ca="1">M98+M99</f>
        <v>0</v>
      </c>
      <c r="N97" s="425">
        <f ca="1">N98+N99</f>
        <v>0</v>
      </c>
      <c r="O97" s="425">
        <f ca="1">IF(L97&gt;0,N97*100/L97,0)</f>
        <v>0</v>
      </c>
      <c r="P97" s="425">
        <f ca="1">IF(M97&gt;0,N97*100/M97,0)</f>
        <v>0</v>
      </c>
    </row>
    <row r="98" spans="1:16" ht="18.75" hidden="1" x14ac:dyDescent="0.25">
      <c r="A98" s="543"/>
      <c r="B98" s="418"/>
      <c r="C98" s="418"/>
      <c r="D98" s="418"/>
      <c r="E98" s="546" t="s">
        <v>34</v>
      </c>
      <c r="F98" s="418"/>
      <c r="G98" s="422"/>
      <c r="H98" s="545" t="s">
        <v>12</v>
      </c>
      <c r="I98" s="541"/>
      <c r="J98" s="541"/>
      <c r="K98" s="527"/>
      <c r="L98" s="544">
        <v>0</v>
      </c>
      <c r="M98" s="544">
        <v>0</v>
      </c>
      <c r="N98" s="544">
        <v>0</v>
      </c>
      <c r="O98" s="544">
        <f>IF(L98&gt;0,N98*100/L98,0)</f>
        <v>0</v>
      </c>
      <c r="P98" s="544">
        <f>IF(M98&gt;0,N98*100/M98,0)</f>
        <v>0</v>
      </c>
    </row>
    <row r="99" spans="1:16" ht="18.75" hidden="1" x14ac:dyDescent="0.25">
      <c r="A99" s="543"/>
      <c r="B99" s="418"/>
      <c r="C99" s="418"/>
      <c r="D99" s="418"/>
      <c r="E99" s="293" t="s">
        <v>35</v>
      </c>
      <c r="F99" s="418"/>
      <c r="G99" s="422"/>
      <c r="H99" s="548" t="s">
        <v>12</v>
      </c>
      <c r="I99" s="541"/>
      <c r="J99" s="541"/>
      <c r="K99" s="527"/>
      <c r="L99" s="425">
        <f ca="1">IFERROR(__xludf.DUMMYFUNCTION("IMPORTRANGE(""https://docs.google.com/spreadsheets/d/1-uDff_7J0KD5mKrp0Vvzr7lt3OU09vwQwhkpOPPYv2Y/edit?usp=sharing"",""งบพรบ!AW88"")"),0)</f>
        <v>0</v>
      </c>
      <c r="M99" s="425">
        <f ca="1">IFERROR(__xludf.DUMMYFUNCTION("IMPORTRANGE(""https://docs.google.com/spreadsheets/d/1-uDff_7J0KD5mKrp0Vvzr7lt3OU09vwQwhkpOPPYv2Y/edit?usp=sharing"",""งบพรบ!BB88"")"),0)</f>
        <v>0</v>
      </c>
      <c r="N99" s="425">
        <f ca="1">IFERROR(__xludf.DUMMYFUNCTION("IMPORTRANGE(""https://docs.google.com/spreadsheets/d/1-uDff_7J0KD5mKrp0Vvzr7lt3OU09vwQwhkpOPPYv2Y/edit?usp=sharing"",""งบพรบ!BD88"")"),0)</f>
        <v>0</v>
      </c>
      <c r="O99" s="425">
        <f ca="1">IF(L99&gt;0,N99*100/L99,0)</f>
        <v>0</v>
      </c>
      <c r="P99" s="425">
        <f ca="1">IF(M99&gt;0,N99*100/M99,0)</f>
        <v>0</v>
      </c>
    </row>
    <row r="100" spans="1:16" ht="18.75" hidden="1" x14ac:dyDescent="0.25">
      <c r="A100" s="543"/>
      <c r="B100" s="418"/>
      <c r="C100" s="418"/>
      <c r="D100" s="547" t="s">
        <v>21</v>
      </c>
      <c r="E100" s="418"/>
      <c r="F100" s="418"/>
      <c r="G100" s="422"/>
      <c r="H100" s="542" t="s">
        <v>12</v>
      </c>
      <c r="I100" s="541"/>
      <c r="J100" s="541"/>
      <c r="K100" s="527"/>
      <c r="L100" s="425">
        <f ca="1">L101+L102</f>
        <v>0</v>
      </c>
      <c r="M100" s="425">
        <f ca="1">M101+M102</f>
        <v>0</v>
      </c>
      <c r="N100" s="425">
        <f ca="1">N101+N102</f>
        <v>0</v>
      </c>
      <c r="O100" s="425">
        <f ca="1">IF(L100&gt;0,N100*100/L100,0)</f>
        <v>0</v>
      </c>
      <c r="P100" s="425">
        <f ca="1">IF(M100&gt;0,N100*100/M100,0)</f>
        <v>0</v>
      </c>
    </row>
    <row r="101" spans="1:16" ht="18.75" hidden="1" x14ac:dyDescent="0.25">
      <c r="A101" s="543"/>
      <c r="B101" s="418"/>
      <c r="C101" s="418"/>
      <c r="D101" s="418"/>
      <c r="E101" s="546" t="s">
        <v>18</v>
      </c>
      <c r="F101" s="418"/>
      <c r="G101" s="422"/>
      <c r="H101" s="545" t="s">
        <v>12</v>
      </c>
      <c r="I101" s="541"/>
      <c r="J101" s="541"/>
      <c r="K101" s="527"/>
      <c r="L101" s="544">
        <v>0</v>
      </c>
      <c r="M101" s="544">
        <v>0</v>
      </c>
      <c r="N101" s="544">
        <v>0</v>
      </c>
      <c r="O101" s="544">
        <f>IF(L101&gt;0,N101*100/L101,0)</f>
        <v>0</v>
      </c>
      <c r="P101" s="544">
        <f>IF(M101&gt;0,N101*100/M101,0)</f>
        <v>0</v>
      </c>
    </row>
    <row r="102" spans="1:16" ht="18.75" hidden="1" x14ac:dyDescent="0.25">
      <c r="A102" s="543"/>
      <c r="B102" s="418"/>
      <c r="C102" s="418"/>
      <c r="D102" s="418"/>
      <c r="E102" s="293" t="s">
        <v>19</v>
      </c>
      <c r="F102" s="418"/>
      <c r="G102" s="422"/>
      <c r="H102" s="542" t="s">
        <v>12</v>
      </c>
      <c r="I102" s="541"/>
      <c r="J102" s="541"/>
      <c r="K102" s="527"/>
      <c r="L102" s="425">
        <f ca="1">IFERROR(__xludf.DUMMYFUNCTION("IMPORTRANGE(""https://docs.google.com/spreadsheets/d/1-uDff_7J0KD5mKrp0Vvzr7lt3OU09vwQwhkpOPPYv2Y/edit?usp=sharing"",""งบพรบ!AZ88"")"),0)</f>
        <v>0</v>
      </c>
      <c r="M102" s="425">
        <f ca="1">IFERROR(__xludf.DUMMYFUNCTION("IMPORTRANGE(""https://docs.google.com/spreadsheets/d/1-uDff_7J0KD5mKrp0Vvzr7lt3OU09vwQwhkpOPPYv2Y/edit?usp=sharing"",""งบพรบ!BC88"")"),0)</f>
        <v>0</v>
      </c>
      <c r="N102" s="425">
        <f ca="1">IFERROR(__xludf.DUMMYFUNCTION("IMPORTRANGE(""https://docs.google.com/spreadsheets/d/1-uDff_7J0KD5mKrp0Vvzr7lt3OU09vwQwhkpOPPYv2Y/edit?usp=sharing"",""งบพรบ!BE88"")"),0)</f>
        <v>0</v>
      </c>
      <c r="O102" s="425">
        <f ca="1">IF(L102&gt;0,N102*100/L102,0)</f>
        <v>0</v>
      </c>
      <c r="P102" s="425">
        <f ca="1">IF(M102&gt;0,N102*100/M102,0)</f>
        <v>0</v>
      </c>
    </row>
    <row r="103" spans="1:16" ht="19.5" hidden="1" x14ac:dyDescent="0.3">
      <c r="A103" s="531"/>
      <c r="B103" s="430"/>
      <c r="C103" s="537" t="s">
        <v>16</v>
      </c>
      <c r="D103" s="536" t="s">
        <v>36</v>
      </c>
      <c r="E103" s="535"/>
      <c r="F103" s="535"/>
      <c r="G103" s="534"/>
      <c r="H103" s="530"/>
      <c r="I103" s="541"/>
      <c r="J103" s="427"/>
      <c r="K103" s="428"/>
      <c r="L103" s="428"/>
      <c r="M103" s="428"/>
      <c r="N103" s="428"/>
      <c r="O103" s="527"/>
      <c r="P103" s="527"/>
    </row>
    <row r="104" spans="1:16" ht="12.75" hidden="1" x14ac:dyDescent="0.2">
      <c r="A104" s="593"/>
      <c r="B104" s="592"/>
      <c r="C104" s="592"/>
      <c r="D104" s="591"/>
      <c r="E104" s="591"/>
      <c r="F104" s="591"/>
      <c r="G104" s="590"/>
      <c r="H104" s="590"/>
      <c r="I104" s="589"/>
      <c r="J104" s="589"/>
      <c r="K104" s="588"/>
      <c r="L104" s="588"/>
      <c r="M104" s="588"/>
      <c r="N104" s="588"/>
      <c r="O104" s="588"/>
      <c r="P104" s="588"/>
    </row>
    <row r="105" spans="1:16" ht="12.75" hidden="1" x14ac:dyDescent="0.2">
      <c r="A105" s="593"/>
      <c r="B105" s="592"/>
      <c r="C105" s="592"/>
      <c r="D105" s="591"/>
      <c r="E105" s="591"/>
      <c r="F105" s="591"/>
      <c r="G105" s="590"/>
      <c r="H105" s="590"/>
      <c r="I105" s="589"/>
      <c r="J105" s="589"/>
      <c r="K105" s="588"/>
      <c r="L105" s="588"/>
      <c r="M105" s="588"/>
      <c r="N105" s="588"/>
      <c r="O105" s="588"/>
      <c r="P105" s="588"/>
    </row>
    <row r="106" spans="1:16" ht="12.75" hidden="1" x14ac:dyDescent="0.2">
      <c r="A106" s="593"/>
      <c r="B106" s="592"/>
      <c r="C106" s="592"/>
      <c r="D106" s="592"/>
      <c r="E106" s="591"/>
      <c r="F106" s="591"/>
      <c r="G106" s="590"/>
      <c r="H106" s="590"/>
      <c r="I106" s="589"/>
      <c r="J106" s="589"/>
      <c r="K106" s="588"/>
      <c r="L106" s="588"/>
      <c r="M106" s="588"/>
      <c r="N106" s="588"/>
      <c r="O106" s="588"/>
      <c r="P106" s="588"/>
    </row>
    <row r="107" spans="1:16" ht="19.5" hidden="1" x14ac:dyDescent="0.3">
      <c r="A107" s="531"/>
      <c r="B107" s="430"/>
      <c r="C107" s="430"/>
      <c r="D107" s="596" t="s">
        <v>45</v>
      </c>
      <c r="E107" s="508"/>
      <c r="F107" s="420"/>
      <c r="G107" s="530"/>
      <c r="H107" s="422"/>
      <c r="I107" s="427"/>
      <c r="J107" s="427"/>
      <c r="K107" s="428"/>
      <c r="L107" s="428"/>
      <c r="M107" s="428"/>
      <c r="N107" s="428"/>
      <c r="O107" s="527"/>
      <c r="P107" s="527"/>
    </row>
    <row r="108" spans="1:16" ht="18.75" hidden="1" x14ac:dyDescent="0.25">
      <c r="A108" s="531"/>
      <c r="B108" s="430"/>
      <c r="C108" s="430"/>
      <c r="D108" s="421" t="s">
        <v>46</v>
      </c>
      <c r="E108" s="420"/>
      <c r="F108" s="420"/>
      <c r="G108" s="530"/>
      <c r="H108" s="569" t="s">
        <v>44</v>
      </c>
      <c r="I108" s="424">
        <f ca="1">IFERROR(__xludf.DUMMYFUNCTION("IMPORTRANGE(""https://docs.google.com/spreadsheets/d/1eHaY18a8A9IcSdp1K8H6x8fbOy06t2VsZHhMHf-1x7Y/edit?usp=sharing"",""แผน!N88"")"),0)</f>
        <v>0</v>
      </c>
      <c r="J108" s="568">
        <v>0</v>
      </c>
      <c r="K108" s="425">
        <f ca="1">IF(I108&gt;0,J108*100/I108,0)</f>
        <v>0</v>
      </c>
      <c r="L108" s="428"/>
      <c r="M108" s="428"/>
      <c r="N108" s="428"/>
      <c r="O108" s="527"/>
      <c r="P108" s="527"/>
    </row>
    <row r="109" spans="1:16" ht="18.75" hidden="1" x14ac:dyDescent="0.25">
      <c r="A109" s="531"/>
      <c r="B109" s="430"/>
      <c r="C109" s="430"/>
      <c r="D109" s="421" t="s">
        <v>47</v>
      </c>
      <c r="E109" s="420"/>
      <c r="F109" s="420"/>
      <c r="G109" s="530"/>
      <c r="H109" s="569" t="s">
        <v>33</v>
      </c>
      <c r="I109" s="424">
        <f ca="1">IFERROR(__xludf.DUMMYFUNCTION("IMPORTRANGE(""https://docs.google.com/spreadsheets/d/1eHaY18a8A9IcSdp1K8H6x8fbOy06t2VsZHhMHf-1x7Y/edit?usp=sharing"",""แผน!O88"")"),0)</f>
        <v>0</v>
      </c>
      <c r="J109" s="568">
        <v>0</v>
      </c>
      <c r="K109" s="425">
        <f ca="1">IF(I109&gt;0,J109*100/I109,0)</f>
        <v>0</v>
      </c>
      <c r="L109" s="428"/>
      <c r="M109" s="428"/>
      <c r="N109" s="428"/>
      <c r="O109" s="527"/>
      <c r="P109" s="527"/>
    </row>
    <row r="110" spans="1:16" ht="12.75" hidden="1" x14ac:dyDescent="0.2">
      <c r="A110" s="593"/>
      <c r="B110" s="592"/>
      <c r="C110" s="592"/>
      <c r="D110" s="591"/>
      <c r="E110" s="591"/>
      <c r="F110" s="591"/>
      <c r="G110" s="590"/>
      <c r="H110" s="590"/>
      <c r="I110" s="589"/>
      <c r="J110" s="589"/>
      <c r="K110" s="588"/>
      <c r="L110" s="588"/>
      <c r="M110" s="588"/>
      <c r="N110" s="588"/>
      <c r="O110" s="588"/>
      <c r="P110" s="588"/>
    </row>
    <row r="111" spans="1:16" ht="12.75" hidden="1" x14ac:dyDescent="0.2">
      <c r="A111" s="593"/>
      <c r="B111" s="592"/>
      <c r="C111" s="592"/>
      <c r="D111" s="591"/>
      <c r="E111" s="591"/>
      <c r="F111" s="591"/>
      <c r="G111" s="590"/>
      <c r="H111" s="590"/>
      <c r="I111" s="589"/>
      <c r="J111" s="589"/>
      <c r="K111" s="588"/>
      <c r="L111" s="588"/>
      <c r="M111" s="588"/>
      <c r="N111" s="588"/>
      <c r="O111" s="588"/>
      <c r="P111" s="588"/>
    </row>
    <row r="112" spans="1:16" ht="12.75" hidden="1" x14ac:dyDescent="0.2">
      <c r="A112" s="593"/>
      <c r="B112" s="592"/>
      <c r="C112" s="592"/>
      <c r="D112" s="591"/>
      <c r="E112" s="591"/>
      <c r="F112" s="591"/>
      <c r="G112" s="590"/>
      <c r="H112" s="590"/>
      <c r="I112" s="589"/>
      <c r="J112" s="589"/>
      <c r="K112" s="588"/>
      <c r="L112" s="588"/>
      <c r="M112" s="588"/>
      <c r="N112" s="588"/>
      <c r="O112" s="588"/>
      <c r="P112" s="588"/>
    </row>
    <row r="113" spans="1:16" ht="12.75" hidden="1" x14ac:dyDescent="0.2">
      <c r="A113" s="593"/>
      <c r="B113" s="592"/>
      <c r="C113" s="592"/>
      <c r="D113" s="591"/>
      <c r="E113" s="591"/>
      <c r="F113" s="591"/>
      <c r="G113" s="590"/>
      <c r="H113" s="590"/>
      <c r="I113" s="589"/>
      <c r="J113" s="589"/>
      <c r="K113" s="588"/>
      <c r="L113" s="588"/>
      <c r="M113" s="588"/>
      <c r="N113" s="588"/>
      <c r="O113" s="588"/>
      <c r="P113" s="588"/>
    </row>
    <row r="114" spans="1:16" ht="12.75" hidden="1" x14ac:dyDescent="0.2">
      <c r="A114" s="593"/>
      <c r="B114" s="592"/>
      <c r="C114" s="592"/>
      <c r="D114" s="591"/>
      <c r="E114" s="591"/>
      <c r="F114" s="591"/>
      <c r="G114" s="590"/>
      <c r="H114" s="590"/>
      <c r="I114" s="589"/>
      <c r="J114" s="589"/>
      <c r="K114" s="588"/>
      <c r="L114" s="588"/>
      <c r="M114" s="588"/>
      <c r="N114" s="588"/>
      <c r="O114" s="588"/>
      <c r="P114" s="588"/>
    </row>
    <row r="115" spans="1:16" ht="12.75" hidden="1" x14ac:dyDescent="0.2">
      <c r="A115" s="593"/>
      <c r="B115" s="592"/>
      <c r="C115" s="592"/>
      <c r="D115" s="591"/>
      <c r="E115" s="591"/>
      <c r="F115" s="591"/>
      <c r="G115" s="590"/>
      <c r="H115" s="590"/>
      <c r="I115" s="589"/>
      <c r="J115" s="589"/>
      <c r="K115" s="588"/>
      <c r="L115" s="588"/>
      <c r="M115" s="588"/>
      <c r="N115" s="588"/>
      <c r="O115" s="588"/>
      <c r="P115" s="588"/>
    </row>
    <row r="116" spans="1:16" ht="12.75" hidden="1" x14ac:dyDescent="0.2">
      <c r="A116" s="593"/>
      <c r="B116" s="592"/>
      <c r="C116" s="592"/>
      <c r="D116" s="591"/>
      <c r="E116" s="591"/>
      <c r="F116" s="591"/>
      <c r="G116" s="590"/>
      <c r="H116" s="590"/>
      <c r="I116" s="589"/>
      <c r="J116" s="589"/>
      <c r="K116" s="588"/>
      <c r="L116" s="588"/>
      <c r="M116" s="588"/>
      <c r="N116" s="588"/>
      <c r="O116" s="588"/>
      <c r="P116" s="588"/>
    </row>
    <row r="117" spans="1:16" ht="18.75" hidden="1" x14ac:dyDescent="0.25">
      <c r="A117" s="531"/>
      <c r="B117" s="430"/>
      <c r="C117" s="430"/>
      <c r="D117" s="421" t="s">
        <v>48</v>
      </c>
      <c r="E117" s="420"/>
      <c r="F117" s="420"/>
      <c r="G117" s="530"/>
      <c r="H117" s="529" t="s">
        <v>33</v>
      </c>
      <c r="I117" s="595">
        <f ca="1">IFERROR(__xludf.DUMMYFUNCTION("IMPORTRANGE(""https://docs.google.com/spreadsheets/d/1eHaY18a8A9IcSdp1K8H6x8fbOy06t2VsZHhMHf-1x7Y/edit?usp=sharing"",""แผน!R88"")"),0)</f>
        <v>0</v>
      </c>
      <c r="J117" s="568">
        <v>0</v>
      </c>
      <c r="K117" s="425">
        <f ca="1">IF(I117&gt;0,J117*100/I117,0)</f>
        <v>0</v>
      </c>
      <c r="L117" s="428"/>
      <c r="M117" s="428"/>
      <c r="N117" s="428"/>
      <c r="O117" s="527"/>
      <c r="P117" s="527"/>
    </row>
    <row r="118" spans="1:16" ht="12.75" hidden="1" x14ac:dyDescent="0.2">
      <c r="A118" s="593"/>
      <c r="B118" s="592"/>
      <c r="C118" s="592"/>
      <c r="D118" s="592"/>
      <c r="E118" s="591"/>
      <c r="F118" s="591"/>
      <c r="G118" s="590"/>
      <c r="H118" s="590"/>
      <c r="I118" s="589"/>
      <c r="J118" s="589"/>
      <c r="K118" s="588"/>
      <c r="L118" s="588"/>
      <c r="M118" s="588"/>
      <c r="N118" s="588"/>
      <c r="O118" s="588"/>
      <c r="P118" s="588"/>
    </row>
    <row r="119" spans="1:16" ht="12.75" hidden="1" x14ac:dyDescent="0.2">
      <c r="A119" s="593"/>
      <c r="B119" s="592"/>
      <c r="C119" s="592"/>
      <c r="D119" s="592"/>
      <c r="E119" s="591"/>
      <c r="F119" s="591"/>
      <c r="G119" s="590"/>
      <c r="H119" s="590"/>
      <c r="I119" s="589"/>
      <c r="J119" s="589"/>
      <c r="K119" s="588"/>
      <c r="L119" s="588"/>
      <c r="M119" s="588"/>
      <c r="N119" s="588"/>
      <c r="O119" s="588"/>
      <c r="P119" s="588"/>
    </row>
    <row r="120" spans="1:16" ht="12.75" hidden="1" x14ac:dyDescent="0.2">
      <c r="A120" s="593"/>
      <c r="B120" s="592"/>
      <c r="C120" s="592"/>
      <c r="D120" s="592"/>
      <c r="E120" s="591"/>
      <c r="F120" s="591"/>
      <c r="G120" s="590"/>
      <c r="H120" s="590"/>
      <c r="I120" s="589"/>
      <c r="J120" s="589"/>
      <c r="K120" s="588"/>
      <c r="L120" s="588"/>
      <c r="M120" s="588"/>
      <c r="N120" s="588"/>
      <c r="O120" s="588"/>
      <c r="P120" s="588"/>
    </row>
    <row r="121" spans="1:16" ht="12.75" hidden="1" x14ac:dyDescent="0.2">
      <c r="A121" s="593"/>
      <c r="B121" s="592"/>
      <c r="C121" s="592"/>
      <c r="D121" s="592"/>
      <c r="E121" s="591"/>
      <c r="F121" s="591"/>
      <c r="G121" s="590"/>
      <c r="H121" s="590"/>
      <c r="I121" s="589"/>
      <c r="J121" s="589"/>
      <c r="K121" s="588"/>
      <c r="L121" s="588"/>
      <c r="M121" s="588"/>
      <c r="N121" s="588"/>
      <c r="O121" s="588"/>
      <c r="P121" s="588"/>
    </row>
    <row r="122" spans="1:16" ht="12.75" hidden="1" x14ac:dyDescent="0.2">
      <c r="A122" s="593"/>
      <c r="B122" s="592"/>
      <c r="C122" s="592"/>
      <c r="D122" s="592"/>
      <c r="E122" s="591"/>
      <c r="F122" s="591"/>
      <c r="G122" s="590"/>
      <c r="H122" s="590"/>
      <c r="I122" s="589"/>
      <c r="J122" s="589"/>
      <c r="K122" s="588"/>
      <c r="L122" s="588"/>
      <c r="M122" s="588"/>
      <c r="N122" s="588"/>
      <c r="O122" s="588"/>
      <c r="P122" s="588"/>
    </row>
    <row r="123" spans="1:16" ht="19.5" hidden="1" x14ac:dyDescent="0.3">
      <c r="A123" s="742" t="s">
        <v>49</v>
      </c>
      <c r="B123" s="591"/>
      <c r="C123" s="739"/>
      <c r="D123" s="591"/>
      <c r="E123" s="591"/>
      <c r="F123" s="591"/>
      <c r="G123" s="591"/>
      <c r="H123" s="591"/>
      <c r="I123" s="741"/>
      <c r="J123" s="741"/>
      <c r="K123" s="740"/>
      <c r="L123" s="588"/>
      <c r="M123" s="588"/>
      <c r="N123" s="588"/>
      <c r="O123" s="588"/>
      <c r="P123" s="588"/>
    </row>
    <row r="124" spans="1:16" ht="19.5" hidden="1" x14ac:dyDescent="0.3">
      <c r="A124" s="731"/>
      <c r="B124" s="737" t="s">
        <v>50</v>
      </c>
      <c r="C124" s="739"/>
      <c r="D124" s="592"/>
      <c r="E124" s="591"/>
      <c r="F124" s="591"/>
      <c r="G124" s="590"/>
      <c r="H124" s="590"/>
      <c r="I124" s="738">
        <v>0</v>
      </c>
      <c r="J124" s="738">
        <v>0</v>
      </c>
      <c r="K124" s="728">
        <v>0</v>
      </c>
      <c r="L124" s="588"/>
      <c r="M124" s="588"/>
      <c r="N124" s="588"/>
      <c r="O124" s="588"/>
      <c r="P124" s="588"/>
    </row>
    <row r="125" spans="1:16" ht="19.5" hidden="1" x14ac:dyDescent="0.3">
      <c r="A125" s="731"/>
      <c r="B125" s="591"/>
      <c r="C125" s="737" t="s">
        <v>16</v>
      </c>
      <c r="D125" s="736" t="s">
        <v>17</v>
      </c>
      <c r="E125" s="591"/>
      <c r="F125" s="591"/>
      <c r="G125" s="590"/>
      <c r="H125" s="735" t="s">
        <v>12</v>
      </c>
      <c r="I125" s="589"/>
      <c r="J125" s="589"/>
      <c r="K125" s="588"/>
      <c r="L125" s="734">
        <f ca="1">L126+L127</f>
        <v>0</v>
      </c>
      <c r="M125" s="734">
        <f ca="1">M126+M127</f>
        <v>0</v>
      </c>
      <c r="N125" s="734">
        <f ca="1">N126+N127</f>
        <v>0</v>
      </c>
      <c r="O125" s="734">
        <f ca="1">IF(L125&gt;0,N125*100/L125,0)</f>
        <v>0</v>
      </c>
      <c r="P125" s="734">
        <f ca="1">IF(M125&gt;0,N125*100/M125,0)</f>
        <v>0</v>
      </c>
    </row>
    <row r="126" spans="1:16" ht="18.75" hidden="1" x14ac:dyDescent="0.25">
      <c r="A126" s="731"/>
      <c r="B126" s="591"/>
      <c r="C126" s="591"/>
      <c r="D126" s="591"/>
      <c r="E126" s="186" t="s">
        <v>18</v>
      </c>
      <c r="F126" s="591"/>
      <c r="G126" s="590"/>
      <c r="H126" s="215" t="s">
        <v>12</v>
      </c>
      <c r="I126" s="589"/>
      <c r="J126" s="589"/>
      <c r="K126" s="588"/>
      <c r="L126" s="191">
        <f>L129+L132</f>
        <v>0</v>
      </c>
      <c r="M126" s="191">
        <f>M129+M132</f>
        <v>0</v>
      </c>
      <c r="N126" s="191">
        <f>N129+N132</f>
        <v>0</v>
      </c>
      <c r="O126" s="191">
        <f>IF(L126&gt;0,N126*100/L126,0)</f>
        <v>0</v>
      </c>
      <c r="P126" s="191">
        <f>IF(M126&gt;0,N126*100/M126,0)</f>
        <v>0</v>
      </c>
    </row>
    <row r="127" spans="1:16" ht="18.75" hidden="1" x14ac:dyDescent="0.25">
      <c r="A127" s="731"/>
      <c r="B127" s="591"/>
      <c r="C127" s="591"/>
      <c r="D127" s="591"/>
      <c r="E127" s="730" t="s">
        <v>19</v>
      </c>
      <c r="F127" s="591"/>
      <c r="G127" s="590"/>
      <c r="H127" s="729" t="s">
        <v>12</v>
      </c>
      <c r="I127" s="589"/>
      <c r="J127" s="589"/>
      <c r="K127" s="588"/>
      <c r="L127" s="728">
        <f ca="1">L130+L133</f>
        <v>0</v>
      </c>
      <c r="M127" s="728">
        <f ca="1">M130+M133</f>
        <v>0</v>
      </c>
      <c r="N127" s="728">
        <f ca="1">N130+N133</f>
        <v>0</v>
      </c>
      <c r="O127" s="728">
        <f ca="1">IF(L127&gt;0,N127*100/L127,0)</f>
        <v>0</v>
      </c>
      <c r="P127" s="728">
        <f ca="1">IF(M127&gt;0,N127*100/M127,0)</f>
        <v>0</v>
      </c>
    </row>
    <row r="128" spans="1:16" ht="18.75" hidden="1" x14ac:dyDescent="0.25">
      <c r="A128" s="731"/>
      <c r="B128" s="591"/>
      <c r="C128" s="591"/>
      <c r="D128" s="732" t="s">
        <v>20</v>
      </c>
      <c r="E128" s="591"/>
      <c r="F128" s="591"/>
      <c r="G128" s="590"/>
      <c r="H128" s="733" t="s">
        <v>12</v>
      </c>
      <c r="I128" s="589"/>
      <c r="J128" s="589"/>
      <c r="K128" s="588"/>
      <c r="L128" s="728">
        <f ca="1">L129+L130</f>
        <v>0</v>
      </c>
      <c r="M128" s="728">
        <f ca="1">M129+M130</f>
        <v>0</v>
      </c>
      <c r="N128" s="728">
        <f ca="1">N129+N130</f>
        <v>0</v>
      </c>
      <c r="O128" s="728">
        <f ca="1">IF(L128&gt;0,N128*100/L128,0)</f>
        <v>0</v>
      </c>
      <c r="P128" s="728">
        <f ca="1">IF(M128&gt;0,N128*100/M128,0)</f>
        <v>0</v>
      </c>
    </row>
    <row r="129" spans="1:16" ht="18.75" hidden="1" x14ac:dyDescent="0.25">
      <c r="A129" s="731"/>
      <c r="B129" s="591"/>
      <c r="C129" s="591"/>
      <c r="D129" s="591"/>
      <c r="E129" s="186" t="s">
        <v>34</v>
      </c>
      <c r="F129" s="591"/>
      <c r="G129" s="590"/>
      <c r="H129" s="218" t="s">
        <v>12</v>
      </c>
      <c r="I129" s="589"/>
      <c r="J129" s="589"/>
      <c r="K129" s="588"/>
      <c r="L129" s="191">
        <v>0</v>
      </c>
      <c r="M129" s="191">
        <v>0</v>
      </c>
      <c r="N129" s="191">
        <v>0</v>
      </c>
      <c r="O129" s="191">
        <f>IF(L129&gt;0,N129*100/L129,0)</f>
        <v>0</v>
      </c>
      <c r="P129" s="191">
        <f>IF(M129&gt;0,N129*100/M129,0)</f>
        <v>0</v>
      </c>
    </row>
    <row r="130" spans="1:16" ht="18.75" hidden="1" x14ac:dyDescent="0.25">
      <c r="A130" s="731"/>
      <c r="B130" s="591"/>
      <c r="C130" s="591"/>
      <c r="D130" s="591"/>
      <c r="E130" s="730" t="s">
        <v>35</v>
      </c>
      <c r="F130" s="591"/>
      <c r="G130" s="590"/>
      <c r="H130" s="733" t="s">
        <v>12</v>
      </c>
      <c r="I130" s="589"/>
      <c r="J130" s="589"/>
      <c r="K130" s="588"/>
      <c r="L130" s="728">
        <f ca="1">IFERROR(__xludf.DUMMYFUNCTION("IMPORTRANGE(""https://docs.google.com/spreadsheets/d/1-uDff_7J0KD5mKrp0Vvzr7lt3OU09vwQwhkpOPPYv2Y/edit?usp=sharing"",""งบพรบ!BG88"")"),0)</f>
        <v>0</v>
      </c>
      <c r="M130" s="728">
        <f ca="1">IFERROR(__xludf.DUMMYFUNCTION("IMPORTRANGE(""https://docs.google.com/spreadsheets/d/1-uDff_7J0KD5mKrp0Vvzr7lt3OU09vwQwhkpOPPYv2Y/edit?usp=sharing"",""งบพรบ!BL88"")"),0)</f>
        <v>0</v>
      </c>
      <c r="N130" s="728">
        <f ca="1">IFERROR(__xludf.DUMMYFUNCTION("IMPORTRANGE(""https://docs.google.com/spreadsheets/d/1-uDff_7J0KD5mKrp0Vvzr7lt3OU09vwQwhkpOPPYv2Y/edit?usp=sharing"",""งบพรบ!BN88"")"),0)</f>
        <v>0</v>
      </c>
      <c r="O130" s="728">
        <f ca="1">IF(L130&gt;0,N130*100/L130,0)</f>
        <v>0</v>
      </c>
      <c r="P130" s="728">
        <f ca="1">IF(M130&gt;0,N130*100/M130,0)</f>
        <v>0</v>
      </c>
    </row>
    <row r="131" spans="1:16" ht="18.75" hidden="1" x14ac:dyDescent="0.25">
      <c r="A131" s="731"/>
      <c r="B131" s="591"/>
      <c r="C131" s="591"/>
      <c r="D131" s="732" t="s">
        <v>21</v>
      </c>
      <c r="E131" s="591"/>
      <c r="F131" s="591"/>
      <c r="G131" s="590"/>
      <c r="H131" s="729" t="s">
        <v>12</v>
      </c>
      <c r="I131" s="589"/>
      <c r="J131" s="589"/>
      <c r="K131" s="588"/>
      <c r="L131" s="728">
        <f ca="1">L132+L133</f>
        <v>0</v>
      </c>
      <c r="M131" s="728">
        <f ca="1">M132+M133</f>
        <v>0</v>
      </c>
      <c r="N131" s="728">
        <f ca="1">N132+N133</f>
        <v>0</v>
      </c>
      <c r="O131" s="728">
        <f ca="1">IF(L131&gt;0,N131*100/L131,0)</f>
        <v>0</v>
      </c>
      <c r="P131" s="728">
        <f ca="1">IF(M131&gt;0,N131*100/M131,0)</f>
        <v>0</v>
      </c>
    </row>
    <row r="132" spans="1:16" ht="18.75" hidden="1" x14ac:dyDescent="0.25">
      <c r="A132" s="731"/>
      <c r="B132" s="591"/>
      <c r="C132" s="591"/>
      <c r="D132" s="591"/>
      <c r="E132" s="186" t="s">
        <v>18</v>
      </c>
      <c r="F132" s="591"/>
      <c r="G132" s="590"/>
      <c r="H132" s="218" t="s">
        <v>12</v>
      </c>
      <c r="I132" s="589"/>
      <c r="J132" s="589"/>
      <c r="K132" s="588"/>
      <c r="L132" s="191">
        <v>0</v>
      </c>
      <c r="M132" s="191">
        <v>0</v>
      </c>
      <c r="N132" s="191">
        <v>0</v>
      </c>
      <c r="O132" s="191">
        <f>IF(L132&gt;0,N132*100/L132,0)</f>
        <v>0</v>
      </c>
      <c r="P132" s="191">
        <f>IF(M132&gt;0,N132*100/M132,0)</f>
        <v>0</v>
      </c>
    </row>
    <row r="133" spans="1:16" ht="18.75" hidden="1" x14ac:dyDescent="0.25">
      <c r="A133" s="731"/>
      <c r="B133" s="591"/>
      <c r="C133" s="591"/>
      <c r="D133" s="591"/>
      <c r="E133" s="730" t="s">
        <v>19</v>
      </c>
      <c r="F133" s="591"/>
      <c r="G133" s="590"/>
      <c r="H133" s="729" t="s">
        <v>12</v>
      </c>
      <c r="I133" s="589"/>
      <c r="J133" s="589"/>
      <c r="K133" s="588"/>
      <c r="L133" s="728">
        <f ca="1">IFERROR(__xludf.DUMMYFUNCTION("IMPORTRANGE(""https://docs.google.com/spreadsheets/d/1-uDff_7J0KD5mKrp0Vvzr7lt3OU09vwQwhkpOPPYv2Y/edit?usp=sharing"",""งบพรบ!BJ88"")"),0)</f>
        <v>0</v>
      </c>
      <c r="M133" s="728">
        <f ca="1">IFERROR(__xludf.DUMMYFUNCTION("IMPORTRANGE(""https://docs.google.com/spreadsheets/d/1-uDff_7J0KD5mKrp0Vvzr7lt3OU09vwQwhkpOPPYv2Y/edit?usp=sharing"",""งบพรบ!BM88"")"),0)</f>
        <v>0</v>
      </c>
      <c r="N133" s="728">
        <f ca="1">IFERROR(__xludf.DUMMYFUNCTION("IMPORTRANGE(""https://docs.google.com/spreadsheets/d/1-uDff_7J0KD5mKrp0Vvzr7lt3OU09vwQwhkpOPPYv2Y/edit?usp=sharing"",""งบพรบ!BO88"")"),0)</f>
        <v>0</v>
      </c>
      <c r="O133" s="728">
        <f ca="1">IF(L133&gt;0,N133*100/L133,0)</f>
        <v>0</v>
      </c>
      <c r="P133" s="728">
        <f ca="1">IF(M133&gt;0,N133*100/M133,0)</f>
        <v>0</v>
      </c>
    </row>
    <row r="134" spans="1:16" ht="19.5" x14ac:dyDescent="0.3">
      <c r="A134" s="721" t="s">
        <v>51</v>
      </c>
      <c r="B134" s="719"/>
      <c r="C134" s="720"/>
      <c r="D134" s="719"/>
      <c r="E134" s="719"/>
      <c r="F134" s="719"/>
      <c r="G134" s="719"/>
      <c r="H134" s="719"/>
      <c r="I134" s="718"/>
      <c r="J134" s="718"/>
      <c r="K134" s="717"/>
      <c r="L134" s="716"/>
      <c r="M134" s="716"/>
      <c r="N134" s="716"/>
      <c r="O134" s="716"/>
      <c r="P134" s="716"/>
    </row>
    <row r="135" spans="1:16" ht="19.5" x14ac:dyDescent="0.3">
      <c r="A135" s="715"/>
      <c r="B135" s="714" t="s">
        <v>52</v>
      </c>
      <c r="C135" s="724"/>
      <c r="D135" s="723"/>
      <c r="E135" s="713"/>
      <c r="F135" s="713"/>
      <c r="G135" s="713"/>
      <c r="H135" s="713"/>
      <c r="I135" s="727"/>
      <c r="J135" s="726"/>
      <c r="K135" s="708"/>
      <c r="L135" s="708"/>
      <c r="M135" s="708"/>
      <c r="N135" s="708"/>
      <c r="O135" s="708"/>
      <c r="P135" s="708"/>
    </row>
    <row r="136" spans="1:16" ht="19.5" x14ac:dyDescent="0.3">
      <c r="A136" s="715"/>
      <c r="B136" s="713"/>
      <c r="C136" s="725" t="s">
        <v>53</v>
      </c>
      <c r="D136" s="723"/>
      <c r="E136" s="713"/>
      <c r="F136" s="713"/>
      <c r="G136" s="712"/>
      <c r="H136" s="722" t="s">
        <v>54</v>
      </c>
      <c r="I136" s="710">
        <f ca="1">I154</f>
        <v>0</v>
      </c>
      <c r="J136" s="710">
        <f>J154</f>
        <v>0</v>
      </c>
      <c r="K136" s="709">
        <f ca="1">IF(I136&gt;0,J136*100/I136,0)</f>
        <v>0</v>
      </c>
      <c r="L136" s="708"/>
      <c r="M136" s="708"/>
      <c r="N136" s="708"/>
      <c r="O136" s="708"/>
      <c r="P136" s="708"/>
    </row>
    <row r="137" spans="1:16" ht="19.5" x14ac:dyDescent="0.3">
      <c r="A137" s="715"/>
      <c r="B137" s="713"/>
      <c r="C137" s="725" t="s">
        <v>55</v>
      </c>
      <c r="D137" s="723"/>
      <c r="E137" s="713"/>
      <c r="F137" s="713"/>
      <c r="G137" s="712"/>
      <c r="H137" s="722" t="s">
        <v>33</v>
      </c>
      <c r="I137" s="710">
        <f ca="1">I152</f>
        <v>20</v>
      </c>
      <c r="J137" s="710">
        <f>J152</f>
        <v>0</v>
      </c>
      <c r="K137" s="709">
        <f ca="1">IF(I137&gt;0,J137*100/I137,0)</f>
        <v>0</v>
      </c>
      <c r="L137" s="708"/>
      <c r="M137" s="708"/>
      <c r="N137" s="708"/>
      <c r="O137" s="708"/>
      <c r="P137" s="708"/>
    </row>
    <row r="138" spans="1:16" ht="19.5" x14ac:dyDescent="0.3">
      <c r="A138" s="715"/>
      <c r="B138" s="713"/>
      <c r="C138" s="724"/>
      <c r="D138" s="723"/>
      <c r="E138" s="713"/>
      <c r="F138" s="713"/>
      <c r="G138" s="712"/>
      <c r="H138" s="722" t="s">
        <v>56</v>
      </c>
      <c r="I138" s="710">
        <f ca="1">I153</f>
        <v>2</v>
      </c>
      <c r="J138" s="710">
        <f>J153</f>
        <v>0</v>
      </c>
      <c r="K138" s="709">
        <f ca="1">IF(I138&gt;0,J138*100/I138,0)</f>
        <v>0</v>
      </c>
      <c r="L138" s="708"/>
      <c r="M138" s="708"/>
      <c r="N138" s="708"/>
      <c r="O138" s="708"/>
      <c r="P138" s="708"/>
    </row>
    <row r="139" spans="1:16" ht="19.5" x14ac:dyDescent="0.3">
      <c r="A139" s="543"/>
      <c r="B139" s="418"/>
      <c r="C139" s="537" t="s">
        <v>16</v>
      </c>
      <c r="D139" s="552" t="s">
        <v>17</v>
      </c>
      <c r="E139" s="418"/>
      <c r="F139" s="418"/>
      <c r="G139" s="422"/>
      <c r="H139" s="551" t="s">
        <v>12</v>
      </c>
      <c r="I139" s="427"/>
      <c r="J139" s="427"/>
      <c r="K139" s="428"/>
      <c r="L139" s="550">
        <f ca="1">L140+L141</f>
        <v>31600</v>
      </c>
      <c r="M139" s="550">
        <f ca="1">M140+M141</f>
        <v>26600</v>
      </c>
      <c r="N139" s="550">
        <f ca="1">N140+N141</f>
        <v>0</v>
      </c>
      <c r="O139" s="550">
        <f ca="1">IF(L139&gt;0,N139*100/L139,0)</f>
        <v>0</v>
      </c>
      <c r="P139" s="550">
        <f ca="1">IF(M139&gt;0,N139*100/M139,0)</f>
        <v>0</v>
      </c>
    </row>
    <row r="140" spans="1:16" ht="18.75" hidden="1" x14ac:dyDescent="0.25">
      <c r="A140" s="543"/>
      <c r="B140" s="418"/>
      <c r="C140" s="418"/>
      <c r="D140" s="418"/>
      <c r="E140" s="546" t="s">
        <v>18</v>
      </c>
      <c r="F140" s="418"/>
      <c r="G140" s="422"/>
      <c r="H140" s="549" t="s">
        <v>12</v>
      </c>
      <c r="I140" s="427"/>
      <c r="J140" s="427"/>
      <c r="K140" s="428"/>
      <c r="L140" s="544">
        <f>L143+L146</f>
        <v>0</v>
      </c>
      <c r="M140" s="544">
        <f>M143+M146</f>
        <v>0</v>
      </c>
      <c r="N140" s="544">
        <f>N143+N146</f>
        <v>0</v>
      </c>
      <c r="O140" s="544">
        <f>IF(L140&gt;0,N140*100/L140,0)</f>
        <v>0</v>
      </c>
      <c r="P140" s="544">
        <f>IF(M140&gt;0,N140*100/M140,0)</f>
        <v>0</v>
      </c>
    </row>
    <row r="141" spans="1:16" ht="18.75" x14ac:dyDescent="0.25">
      <c r="A141" s="543"/>
      <c r="B141" s="418"/>
      <c r="C141" s="418"/>
      <c r="D141" s="418"/>
      <c r="E141" s="293" t="s">
        <v>19</v>
      </c>
      <c r="F141" s="418"/>
      <c r="G141" s="422"/>
      <c r="H141" s="440" t="s">
        <v>12</v>
      </c>
      <c r="I141" s="427"/>
      <c r="J141" s="427"/>
      <c r="K141" s="428"/>
      <c r="L141" s="425">
        <f ca="1">L144+L147</f>
        <v>31600</v>
      </c>
      <c r="M141" s="425">
        <f ca="1">M144+M147</f>
        <v>26600</v>
      </c>
      <c r="N141" s="425">
        <f ca="1">N144+N147</f>
        <v>0</v>
      </c>
      <c r="O141" s="425">
        <f ca="1">IF(L141&gt;0,N141*100/L141,0)</f>
        <v>0</v>
      </c>
      <c r="P141" s="425">
        <f ca="1">IF(M141&gt;0,N141*100/M141,0)</f>
        <v>0</v>
      </c>
    </row>
    <row r="142" spans="1:16" ht="18.75" x14ac:dyDescent="0.25">
      <c r="A142" s="543"/>
      <c r="B142" s="418"/>
      <c r="C142" s="418"/>
      <c r="D142" s="547" t="s">
        <v>20</v>
      </c>
      <c r="E142" s="418"/>
      <c r="F142" s="418"/>
      <c r="G142" s="422"/>
      <c r="H142" s="548" t="s">
        <v>12</v>
      </c>
      <c r="I142" s="541"/>
      <c r="J142" s="541"/>
      <c r="K142" s="527"/>
      <c r="L142" s="425">
        <f ca="1">L143+L144</f>
        <v>31600</v>
      </c>
      <c r="M142" s="425">
        <f ca="1">M143+M144</f>
        <v>26600</v>
      </c>
      <c r="N142" s="425">
        <f ca="1">N143+N144</f>
        <v>0</v>
      </c>
      <c r="O142" s="425">
        <f ca="1">IF(L142&gt;0,N142*100/L142,0)</f>
        <v>0</v>
      </c>
      <c r="P142" s="425">
        <f ca="1">IF(M142&gt;0,N142*100/M142,0)</f>
        <v>0</v>
      </c>
    </row>
    <row r="143" spans="1:16" ht="18.75" hidden="1" x14ac:dyDescent="0.25">
      <c r="A143" s="543"/>
      <c r="B143" s="418"/>
      <c r="C143" s="418"/>
      <c r="D143" s="418"/>
      <c r="E143" s="546" t="s">
        <v>34</v>
      </c>
      <c r="F143" s="418"/>
      <c r="G143" s="422"/>
      <c r="H143" s="545" t="s">
        <v>12</v>
      </c>
      <c r="I143" s="541"/>
      <c r="J143" s="541"/>
      <c r="K143" s="527"/>
      <c r="L143" s="544">
        <v>0</v>
      </c>
      <c r="M143" s="544">
        <v>0</v>
      </c>
      <c r="N143" s="544">
        <v>0</v>
      </c>
      <c r="O143" s="544">
        <f>IF(L143&gt;0,N143*100/L143,0)</f>
        <v>0</v>
      </c>
      <c r="P143" s="544">
        <f>IF(M143&gt;0,N143*100/M143,0)</f>
        <v>0</v>
      </c>
    </row>
    <row r="144" spans="1:16" ht="18.75" x14ac:dyDescent="0.25">
      <c r="A144" s="543"/>
      <c r="B144" s="418"/>
      <c r="C144" s="418"/>
      <c r="D144" s="418"/>
      <c r="E144" s="293" t="s">
        <v>35</v>
      </c>
      <c r="F144" s="418"/>
      <c r="G144" s="422"/>
      <c r="H144" s="548" t="s">
        <v>12</v>
      </c>
      <c r="I144" s="541"/>
      <c r="J144" s="541"/>
      <c r="K144" s="527"/>
      <c r="L144" s="425">
        <f ca="1">IFERROR(__xludf.DUMMYFUNCTION("IMPORTRANGE(""https://docs.google.com/spreadsheets/d/1-uDff_7J0KD5mKrp0Vvzr7lt3OU09vwQwhkpOPPYv2Y/edit?usp=sharing"",""งบพรบ!BQ88"")"),31600)</f>
        <v>31600</v>
      </c>
      <c r="M144" s="425">
        <f ca="1">IFERROR(__xludf.DUMMYFUNCTION("IMPORTRANGE(""https://docs.google.com/spreadsheets/d/1-uDff_7J0KD5mKrp0Vvzr7lt3OU09vwQwhkpOPPYv2Y/edit?usp=sharing"",""งบพรบ!BV88"")"),26600)</f>
        <v>26600</v>
      </c>
      <c r="N144" s="425">
        <f ca="1">IFERROR(__xludf.DUMMYFUNCTION("IMPORTRANGE(""https://docs.google.com/spreadsheets/d/1-uDff_7J0KD5mKrp0Vvzr7lt3OU09vwQwhkpOPPYv2Y/edit?usp=sharing"",""งบพรบ!BX88"")"),0)</f>
        <v>0</v>
      </c>
      <c r="O144" s="425">
        <f ca="1">IF(L144&gt;0,N144*100/L144,0)</f>
        <v>0</v>
      </c>
      <c r="P144" s="425">
        <f ca="1">IF(M144&gt;0,N144*100/M144,0)</f>
        <v>0</v>
      </c>
    </row>
    <row r="145" spans="1:16" ht="18.75" x14ac:dyDescent="0.25">
      <c r="A145" s="543"/>
      <c r="B145" s="418"/>
      <c r="C145" s="418"/>
      <c r="D145" s="547" t="s">
        <v>21</v>
      </c>
      <c r="E145" s="418"/>
      <c r="F145" s="418"/>
      <c r="G145" s="422"/>
      <c r="H145" s="542" t="s">
        <v>12</v>
      </c>
      <c r="I145" s="541"/>
      <c r="J145" s="541"/>
      <c r="K145" s="527"/>
      <c r="L145" s="425">
        <f ca="1">L146+L147</f>
        <v>0</v>
      </c>
      <c r="M145" s="425">
        <f ca="1">M146+M147</f>
        <v>0</v>
      </c>
      <c r="N145" s="425">
        <f ca="1">N146+N147</f>
        <v>0</v>
      </c>
      <c r="O145" s="425">
        <f ca="1">IF(L145&gt;0,N145*100/L145,0)</f>
        <v>0</v>
      </c>
      <c r="P145" s="425">
        <f ca="1">IF(M145&gt;0,N145*100/M145,0)</f>
        <v>0</v>
      </c>
    </row>
    <row r="146" spans="1:16" ht="18.75" hidden="1" x14ac:dyDescent="0.25">
      <c r="A146" s="543"/>
      <c r="B146" s="418"/>
      <c r="C146" s="418"/>
      <c r="D146" s="418"/>
      <c r="E146" s="546" t="s">
        <v>18</v>
      </c>
      <c r="F146" s="418"/>
      <c r="G146" s="422"/>
      <c r="H146" s="545" t="s">
        <v>12</v>
      </c>
      <c r="I146" s="541"/>
      <c r="J146" s="541"/>
      <c r="K146" s="527"/>
      <c r="L146" s="544">
        <v>0</v>
      </c>
      <c r="M146" s="544">
        <v>0</v>
      </c>
      <c r="N146" s="544">
        <v>0</v>
      </c>
      <c r="O146" s="544">
        <f>IF(L146&gt;0,N146*100/L146,0)</f>
        <v>0</v>
      </c>
      <c r="P146" s="544">
        <f>IF(M146&gt;0,N146*100/M146,0)</f>
        <v>0</v>
      </c>
    </row>
    <row r="147" spans="1:16" ht="18.75" x14ac:dyDescent="0.25">
      <c r="A147" s="543"/>
      <c r="B147" s="418"/>
      <c r="C147" s="418"/>
      <c r="D147" s="418"/>
      <c r="E147" s="293" t="s">
        <v>19</v>
      </c>
      <c r="F147" s="418"/>
      <c r="G147" s="422"/>
      <c r="H147" s="542" t="s">
        <v>12</v>
      </c>
      <c r="I147" s="541"/>
      <c r="J147" s="541"/>
      <c r="K147" s="527"/>
      <c r="L147" s="425">
        <f ca="1">IFERROR(__xludf.DUMMYFUNCTION("IMPORTRANGE(""https://docs.google.com/spreadsheets/d/1-uDff_7J0KD5mKrp0Vvzr7lt3OU09vwQwhkpOPPYv2Y/edit?usp=sharing"",""งบพรบ!BT88"")"),0)</f>
        <v>0</v>
      </c>
      <c r="M147" s="425">
        <f ca="1">IFERROR(__xludf.DUMMYFUNCTION("IMPORTRANGE(""https://docs.google.com/spreadsheets/d/1-uDff_7J0KD5mKrp0Vvzr7lt3OU09vwQwhkpOPPYv2Y/edit?usp=sharing"",""งบพรบ!BW88"")"),0)</f>
        <v>0</v>
      </c>
      <c r="N147" s="425">
        <f ca="1">IFERROR(__xludf.DUMMYFUNCTION("IMPORTRANGE(""https://docs.google.com/spreadsheets/d/1-uDff_7J0KD5mKrp0Vvzr7lt3OU09vwQwhkpOPPYv2Y/edit?usp=sharing"",""งบพรบ!BY88"")"),0)</f>
        <v>0</v>
      </c>
      <c r="O147" s="425">
        <f ca="1">IF(L147&gt;0,N147*100/L147,0)</f>
        <v>0</v>
      </c>
      <c r="P147" s="425">
        <f ca="1">IF(M147&gt;0,N147*100/M147,0)</f>
        <v>0</v>
      </c>
    </row>
    <row r="148" spans="1:16" ht="19.5" x14ac:dyDescent="0.3">
      <c r="A148" s="531"/>
      <c r="B148" s="430"/>
      <c r="C148" s="537" t="s">
        <v>16</v>
      </c>
      <c r="D148" s="536" t="s">
        <v>36</v>
      </c>
      <c r="E148" s="535"/>
      <c r="F148" s="535"/>
      <c r="G148" s="534"/>
      <c r="H148" s="695"/>
      <c r="I148" s="427"/>
      <c r="J148" s="427"/>
      <c r="K148" s="428"/>
      <c r="L148" s="428"/>
      <c r="M148" s="428"/>
      <c r="N148" s="428"/>
      <c r="O148" s="428"/>
      <c r="P148" s="428"/>
    </row>
    <row r="149" spans="1:16" ht="18.75" x14ac:dyDescent="0.25">
      <c r="A149" s="543"/>
      <c r="B149" s="418"/>
      <c r="C149" s="418"/>
      <c r="D149" s="293" t="s">
        <v>57</v>
      </c>
      <c r="E149" s="418"/>
      <c r="F149" s="418"/>
      <c r="G149" s="422"/>
      <c r="H149" s="695"/>
      <c r="I149" s="427"/>
      <c r="J149" s="568">
        <v>0</v>
      </c>
      <c r="K149" s="428"/>
      <c r="L149" s="428"/>
      <c r="M149" s="428"/>
      <c r="N149" s="428"/>
      <c r="O149" s="428"/>
      <c r="P149" s="428"/>
    </row>
    <row r="150" spans="1:16" ht="19.5" x14ac:dyDescent="0.3">
      <c r="A150" s="543"/>
      <c r="B150" s="418"/>
      <c r="C150" s="418"/>
      <c r="D150" s="420"/>
      <c r="E150" s="537" t="s">
        <v>159</v>
      </c>
      <c r="F150" s="418"/>
      <c r="G150" s="422"/>
      <c r="H150" s="542" t="s">
        <v>33</v>
      </c>
      <c r="I150" s="424">
        <f ca="1">IFERROR(__xludf.DUMMYFUNCTION("IMPORTRANGE(""https://docs.google.com/spreadsheets/d/1eHaY18a8A9IcSdp1K8H6x8fbOy06t2VsZHhMHf-1x7Y/edit?usp=sharing"",""แผน!U88"")"),0)</f>
        <v>0</v>
      </c>
      <c r="J150" s="568">
        <v>0</v>
      </c>
      <c r="K150" s="425">
        <f ca="1">IF(I150&gt;0,J150*100/I150,0)</f>
        <v>0</v>
      </c>
      <c r="L150" s="428"/>
      <c r="M150" s="428"/>
      <c r="N150" s="428"/>
      <c r="O150" s="428"/>
      <c r="P150" s="428"/>
    </row>
    <row r="151" spans="1:16" ht="18.75" x14ac:dyDescent="0.25">
      <c r="A151" s="543"/>
      <c r="B151" s="418"/>
      <c r="C151" s="418"/>
      <c r="D151" s="420"/>
      <c r="E151" s="418"/>
      <c r="F151" s="418"/>
      <c r="G151" s="422"/>
      <c r="H151" s="542" t="s">
        <v>56</v>
      </c>
      <c r="I151" s="424">
        <f ca="1">IFERROR(__xludf.DUMMYFUNCTION("IMPORTRANGE(""https://docs.google.com/spreadsheets/d/1eHaY18a8A9IcSdp1K8H6x8fbOy06t2VsZHhMHf-1x7Y/edit?usp=sharing"",""แผน!V88"")"),0)</f>
        <v>0</v>
      </c>
      <c r="J151" s="568">
        <v>0</v>
      </c>
      <c r="K151" s="425">
        <f ca="1">IF(I151&gt;0,J151*100/I151,0)</f>
        <v>0</v>
      </c>
      <c r="L151" s="428"/>
      <c r="M151" s="428"/>
      <c r="N151" s="428"/>
      <c r="O151" s="428"/>
      <c r="P151" s="428"/>
    </row>
    <row r="152" spans="1:16" ht="19.5" x14ac:dyDescent="0.3">
      <c r="A152" s="543"/>
      <c r="B152" s="418"/>
      <c r="C152" s="418"/>
      <c r="D152" s="420"/>
      <c r="E152" s="537" t="s">
        <v>158</v>
      </c>
      <c r="F152" s="418"/>
      <c r="G152" s="422"/>
      <c r="H152" s="542" t="s">
        <v>33</v>
      </c>
      <c r="I152" s="424">
        <f ca="1">IFERROR(__xludf.DUMMYFUNCTION("IMPORTRANGE(""https://docs.google.com/spreadsheets/d/1eHaY18a8A9IcSdp1K8H6x8fbOy06t2VsZHhMHf-1x7Y/edit?usp=sharing"",""แผน!W88"")"),20)</f>
        <v>20</v>
      </c>
      <c r="J152" s="568">
        <v>0</v>
      </c>
      <c r="K152" s="425">
        <f ca="1">IF(I152&gt;0,J152*100/I152,0)</f>
        <v>0</v>
      </c>
      <c r="L152" s="428"/>
      <c r="M152" s="428"/>
      <c r="N152" s="428"/>
      <c r="O152" s="428"/>
      <c r="P152" s="428"/>
    </row>
    <row r="153" spans="1:16" ht="18.75" x14ac:dyDescent="0.25">
      <c r="A153" s="543"/>
      <c r="B153" s="418"/>
      <c r="C153" s="418"/>
      <c r="D153" s="418"/>
      <c r="E153" s="418"/>
      <c r="F153" s="418"/>
      <c r="G153" s="422"/>
      <c r="H153" s="542" t="s">
        <v>56</v>
      </c>
      <c r="I153" s="424">
        <f ca="1">IFERROR(__xludf.DUMMYFUNCTION("IMPORTRANGE(""https://docs.google.com/spreadsheets/d/1eHaY18a8A9IcSdp1K8H6x8fbOy06t2VsZHhMHf-1x7Y/edit?usp=sharing"",""แผน!X88"")"),2)</f>
        <v>2</v>
      </c>
      <c r="J153" s="568">
        <v>0</v>
      </c>
      <c r="K153" s="425">
        <f ca="1">IF(I153&gt;0,J153*100/I153,0)</f>
        <v>0</v>
      </c>
      <c r="L153" s="428"/>
      <c r="M153" s="428"/>
      <c r="N153" s="428"/>
      <c r="O153" s="428"/>
      <c r="P153" s="428"/>
    </row>
    <row r="154" spans="1:16" ht="18.75" x14ac:dyDescent="0.25">
      <c r="A154" s="543"/>
      <c r="B154" s="418"/>
      <c r="C154" s="418"/>
      <c r="D154" s="293" t="s">
        <v>60</v>
      </c>
      <c r="E154" s="418"/>
      <c r="F154" s="418"/>
      <c r="G154" s="422"/>
      <c r="H154" s="542" t="s">
        <v>54</v>
      </c>
      <c r="I154" s="424">
        <f ca="1">IFERROR(__xludf.DUMMYFUNCTION("IMPORTRANGE(""https://docs.google.com/spreadsheets/d/1eHaY18a8A9IcSdp1K8H6x8fbOy06t2VsZHhMHf-1x7Y/edit?usp=sharing"",""แผน!Y88"")"),0)</f>
        <v>0</v>
      </c>
      <c r="J154" s="568">
        <v>0</v>
      </c>
      <c r="K154" s="425">
        <f ca="1">IF(I154&gt;0,J154*100/I154,0)</f>
        <v>0</v>
      </c>
      <c r="L154" s="428"/>
      <c r="M154" s="428"/>
      <c r="N154" s="428"/>
      <c r="O154" s="428"/>
      <c r="P154" s="428"/>
    </row>
    <row r="155" spans="1:16" ht="19.5" x14ac:dyDescent="0.3">
      <c r="A155" s="721" t="s">
        <v>61</v>
      </c>
      <c r="B155" s="719"/>
      <c r="C155" s="720"/>
      <c r="D155" s="719"/>
      <c r="E155" s="719"/>
      <c r="F155" s="719"/>
      <c r="G155" s="719"/>
      <c r="H155" s="719"/>
      <c r="I155" s="718"/>
      <c r="J155" s="718"/>
      <c r="K155" s="717"/>
      <c r="L155" s="716"/>
      <c r="M155" s="716"/>
      <c r="N155" s="716"/>
      <c r="O155" s="716"/>
      <c r="P155" s="716"/>
    </row>
    <row r="156" spans="1:16" ht="19.5" x14ac:dyDescent="0.3">
      <c r="A156" s="715"/>
      <c r="B156" s="714" t="s">
        <v>62</v>
      </c>
      <c r="C156" s="713"/>
      <c r="D156" s="713"/>
      <c r="E156" s="713"/>
      <c r="F156" s="713"/>
      <c r="G156" s="712"/>
      <c r="H156" s="711" t="s">
        <v>33</v>
      </c>
      <c r="I156" s="710">
        <f ca="1">I167</f>
        <v>10</v>
      </c>
      <c r="J156" s="710">
        <f>J167</f>
        <v>0</v>
      </c>
      <c r="K156" s="709">
        <f ca="1">IF(I156&gt;0,J156*100/I156,0)</f>
        <v>0</v>
      </c>
      <c r="L156" s="708"/>
      <c r="M156" s="708"/>
      <c r="N156" s="708"/>
      <c r="O156" s="708"/>
      <c r="P156" s="708"/>
    </row>
    <row r="157" spans="1:16" ht="19.5" x14ac:dyDescent="0.3">
      <c r="A157" s="543"/>
      <c r="B157" s="418"/>
      <c r="C157" s="537" t="s">
        <v>16</v>
      </c>
      <c r="D157" s="552" t="s">
        <v>17</v>
      </c>
      <c r="E157" s="418"/>
      <c r="F157" s="418"/>
      <c r="G157" s="422"/>
      <c r="H157" s="551" t="s">
        <v>12</v>
      </c>
      <c r="I157" s="427"/>
      <c r="J157" s="427"/>
      <c r="K157" s="428"/>
      <c r="L157" s="550">
        <f ca="1">L158+L159</f>
        <v>3000</v>
      </c>
      <c r="M157" s="550">
        <f ca="1">M158+M159</f>
        <v>0</v>
      </c>
      <c r="N157" s="550">
        <f ca="1">N158+N159</f>
        <v>0</v>
      </c>
      <c r="O157" s="550">
        <f ca="1">IF(L157&gt;0,N157*100/L157,0)</f>
        <v>0</v>
      </c>
      <c r="P157" s="550">
        <f ca="1">IF(M157&gt;0,N157*100/M157,0)</f>
        <v>0</v>
      </c>
    </row>
    <row r="158" spans="1:16" ht="18.75" hidden="1" x14ac:dyDescent="0.25">
      <c r="A158" s="543"/>
      <c r="B158" s="418"/>
      <c r="C158" s="418"/>
      <c r="D158" s="418"/>
      <c r="E158" s="546" t="s">
        <v>18</v>
      </c>
      <c r="F158" s="418"/>
      <c r="G158" s="422"/>
      <c r="H158" s="549" t="s">
        <v>12</v>
      </c>
      <c r="I158" s="427"/>
      <c r="J158" s="427"/>
      <c r="K158" s="428"/>
      <c r="L158" s="544">
        <f>L161+L164</f>
        <v>0</v>
      </c>
      <c r="M158" s="544">
        <f>M161+M164</f>
        <v>0</v>
      </c>
      <c r="N158" s="544">
        <f>N161+N164</f>
        <v>0</v>
      </c>
      <c r="O158" s="544">
        <f>IF(L158&gt;0,N158*100/L158,0)</f>
        <v>0</v>
      </c>
      <c r="P158" s="544">
        <f>IF(M158&gt;0,N158*100/M158,0)</f>
        <v>0</v>
      </c>
    </row>
    <row r="159" spans="1:16" ht="18.75" x14ac:dyDescent="0.25">
      <c r="A159" s="543"/>
      <c r="B159" s="418"/>
      <c r="C159" s="418"/>
      <c r="D159" s="418"/>
      <c r="E159" s="293" t="s">
        <v>19</v>
      </c>
      <c r="F159" s="418"/>
      <c r="G159" s="422"/>
      <c r="H159" s="440" t="s">
        <v>12</v>
      </c>
      <c r="I159" s="427"/>
      <c r="J159" s="427"/>
      <c r="K159" s="428"/>
      <c r="L159" s="425">
        <f ca="1">L162+L165</f>
        <v>3000</v>
      </c>
      <c r="M159" s="425">
        <f ca="1">M162+M165</f>
        <v>0</v>
      </c>
      <c r="N159" s="425">
        <f ca="1">N162+N165</f>
        <v>0</v>
      </c>
      <c r="O159" s="425">
        <f ca="1">IF(L159&gt;0,N159*100/L159,0)</f>
        <v>0</v>
      </c>
      <c r="P159" s="425">
        <f ca="1">IF(M159&gt;0,N159*100/M159,0)</f>
        <v>0</v>
      </c>
    </row>
    <row r="160" spans="1:16" ht="18.75" x14ac:dyDescent="0.25">
      <c r="A160" s="543"/>
      <c r="B160" s="418"/>
      <c r="C160" s="418"/>
      <c r="D160" s="547" t="s">
        <v>20</v>
      </c>
      <c r="E160" s="418"/>
      <c r="F160" s="418"/>
      <c r="G160" s="422"/>
      <c r="H160" s="548" t="s">
        <v>12</v>
      </c>
      <c r="I160" s="541"/>
      <c r="J160" s="541"/>
      <c r="K160" s="527"/>
      <c r="L160" s="425">
        <f ca="1">L161+L162</f>
        <v>3000</v>
      </c>
      <c r="M160" s="425">
        <f ca="1">M161+M162</f>
        <v>0</v>
      </c>
      <c r="N160" s="425">
        <f ca="1">N161+N162</f>
        <v>0</v>
      </c>
      <c r="O160" s="425">
        <f ca="1">IF(L160&gt;0,N160*100/L160,0)</f>
        <v>0</v>
      </c>
      <c r="P160" s="425">
        <f ca="1">IF(M160&gt;0,N160*100/M160,0)</f>
        <v>0</v>
      </c>
    </row>
    <row r="161" spans="1:16" ht="18.75" hidden="1" x14ac:dyDescent="0.25">
      <c r="A161" s="543"/>
      <c r="B161" s="418"/>
      <c r="C161" s="418"/>
      <c r="D161" s="418"/>
      <c r="E161" s="546" t="s">
        <v>34</v>
      </c>
      <c r="F161" s="418"/>
      <c r="G161" s="422"/>
      <c r="H161" s="545" t="s">
        <v>12</v>
      </c>
      <c r="I161" s="541"/>
      <c r="J161" s="541"/>
      <c r="K161" s="527"/>
      <c r="L161" s="544">
        <v>0</v>
      </c>
      <c r="M161" s="544">
        <v>0</v>
      </c>
      <c r="N161" s="544">
        <v>0</v>
      </c>
      <c r="O161" s="544">
        <f>IF(L161&gt;0,N161*100/L161,0)</f>
        <v>0</v>
      </c>
      <c r="P161" s="544">
        <f>IF(M161&gt;0,N161*100/M161,0)</f>
        <v>0</v>
      </c>
    </row>
    <row r="162" spans="1:16" ht="18.75" x14ac:dyDescent="0.25">
      <c r="A162" s="543"/>
      <c r="B162" s="418"/>
      <c r="C162" s="418"/>
      <c r="D162" s="418"/>
      <c r="E162" s="293" t="s">
        <v>35</v>
      </c>
      <c r="F162" s="418"/>
      <c r="G162" s="422"/>
      <c r="H162" s="548" t="s">
        <v>12</v>
      </c>
      <c r="I162" s="541"/>
      <c r="J162" s="541"/>
      <c r="K162" s="527"/>
      <c r="L162" s="425">
        <f ca="1">IFERROR(__xludf.DUMMYFUNCTION("IMPORTRANGE(""https://docs.google.com/spreadsheets/d/1-uDff_7J0KD5mKrp0Vvzr7lt3OU09vwQwhkpOPPYv2Y/edit?usp=sharing"",""งบพรบ!CA88"")"),3000)</f>
        <v>3000</v>
      </c>
      <c r="M162" s="425">
        <f ca="1">IFERROR(__xludf.DUMMYFUNCTION("IMPORTRANGE(""https://docs.google.com/spreadsheets/d/1-uDff_7J0KD5mKrp0Vvzr7lt3OU09vwQwhkpOPPYv2Y/edit?usp=sharing"",""งบพรบ!CF88"")"),0)</f>
        <v>0</v>
      </c>
      <c r="N162" s="425">
        <f ca="1">IFERROR(__xludf.DUMMYFUNCTION("IMPORTRANGE(""https://docs.google.com/spreadsheets/d/1-uDff_7J0KD5mKrp0Vvzr7lt3OU09vwQwhkpOPPYv2Y/edit?usp=sharing"",""งบพรบ!CH88"")"),0)</f>
        <v>0</v>
      </c>
      <c r="O162" s="425">
        <f ca="1">IF(L162&gt;0,N162*100/L162,0)</f>
        <v>0</v>
      </c>
      <c r="P162" s="425">
        <f ca="1">IF(M162&gt;0,N162*100/M162,0)</f>
        <v>0</v>
      </c>
    </row>
    <row r="163" spans="1:16" ht="18.75" x14ac:dyDescent="0.25">
      <c r="A163" s="543"/>
      <c r="B163" s="418"/>
      <c r="C163" s="418"/>
      <c r="D163" s="547" t="s">
        <v>21</v>
      </c>
      <c r="E163" s="418"/>
      <c r="F163" s="418"/>
      <c r="G163" s="422"/>
      <c r="H163" s="542" t="s">
        <v>12</v>
      </c>
      <c r="I163" s="541"/>
      <c r="J163" s="541"/>
      <c r="K163" s="527"/>
      <c r="L163" s="425">
        <f ca="1">L164+L165</f>
        <v>0</v>
      </c>
      <c r="M163" s="425">
        <f ca="1">M164+M165</f>
        <v>0</v>
      </c>
      <c r="N163" s="425">
        <f ca="1">N164+N165</f>
        <v>0</v>
      </c>
      <c r="O163" s="425">
        <f ca="1">IF(L163&gt;0,N163*100/L163,0)</f>
        <v>0</v>
      </c>
      <c r="P163" s="425">
        <f ca="1">IF(M163&gt;0,N163*100/M163,0)</f>
        <v>0</v>
      </c>
    </row>
    <row r="164" spans="1:16" ht="18.75" hidden="1" x14ac:dyDescent="0.25">
      <c r="A164" s="543"/>
      <c r="B164" s="418"/>
      <c r="C164" s="418"/>
      <c r="D164" s="418"/>
      <c r="E164" s="546" t="s">
        <v>18</v>
      </c>
      <c r="F164" s="418"/>
      <c r="G164" s="422"/>
      <c r="H164" s="545" t="s">
        <v>12</v>
      </c>
      <c r="I164" s="541"/>
      <c r="J164" s="541"/>
      <c r="K164" s="527"/>
      <c r="L164" s="544">
        <v>0</v>
      </c>
      <c r="M164" s="544">
        <v>0</v>
      </c>
      <c r="N164" s="544">
        <v>0</v>
      </c>
      <c r="O164" s="544">
        <f>IF(L164&gt;0,N164*100/L164,0)</f>
        <v>0</v>
      </c>
      <c r="P164" s="544">
        <f>IF(M164&gt;0,N164*100/M164,0)</f>
        <v>0</v>
      </c>
    </row>
    <row r="165" spans="1:16" ht="18.75" x14ac:dyDescent="0.25">
      <c r="A165" s="543"/>
      <c r="B165" s="418"/>
      <c r="C165" s="418"/>
      <c r="D165" s="418"/>
      <c r="E165" s="293" t="s">
        <v>19</v>
      </c>
      <c r="F165" s="418"/>
      <c r="G165" s="422"/>
      <c r="H165" s="542" t="s">
        <v>12</v>
      </c>
      <c r="I165" s="541"/>
      <c r="J165" s="541"/>
      <c r="K165" s="527"/>
      <c r="L165" s="425">
        <f ca="1">IFERROR(__xludf.DUMMYFUNCTION("IMPORTRANGE(""https://docs.google.com/spreadsheets/d/1-uDff_7J0KD5mKrp0Vvzr7lt3OU09vwQwhkpOPPYv2Y/edit?usp=sharing"",""งบพรบ!CD88"")"),0)</f>
        <v>0</v>
      </c>
      <c r="M165" s="425">
        <f ca="1">IFERROR(__xludf.DUMMYFUNCTION("IMPORTRANGE(""https://docs.google.com/spreadsheets/d/1-uDff_7J0KD5mKrp0Vvzr7lt3OU09vwQwhkpOPPYv2Y/edit?usp=sharing"",""งบพรบ!CG88"")"),0)</f>
        <v>0</v>
      </c>
      <c r="N165" s="425">
        <f ca="1">IFERROR(__xludf.DUMMYFUNCTION("IMPORTRANGE(""https://docs.google.com/spreadsheets/d/1-uDff_7J0KD5mKrp0Vvzr7lt3OU09vwQwhkpOPPYv2Y/edit?usp=sharing"",""งบพรบ!CI88"")"),0)</f>
        <v>0</v>
      </c>
      <c r="O165" s="425">
        <f ca="1">IF(L165&gt;0,N165*100/L165,0)</f>
        <v>0</v>
      </c>
      <c r="P165" s="425">
        <f ca="1">IF(M165&gt;0,N165*100/M165,0)</f>
        <v>0</v>
      </c>
    </row>
    <row r="166" spans="1:16" ht="19.5" x14ac:dyDescent="0.3">
      <c r="A166" s="531"/>
      <c r="B166" s="430"/>
      <c r="C166" s="537" t="s">
        <v>16</v>
      </c>
      <c r="D166" s="536" t="s">
        <v>36</v>
      </c>
      <c r="E166" s="535"/>
      <c r="F166" s="535"/>
      <c r="G166" s="534"/>
      <c r="H166" s="695"/>
      <c r="I166" s="427"/>
      <c r="J166" s="427"/>
      <c r="K166" s="428"/>
      <c r="L166" s="428"/>
      <c r="M166" s="428"/>
      <c r="N166" s="428"/>
      <c r="O166" s="428"/>
      <c r="P166" s="428"/>
    </row>
    <row r="167" spans="1:16" ht="18.75" x14ac:dyDescent="0.25">
      <c r="A167" s="543"/>
      <c r="B167" s="418"/>
      <c r="C167" s="418"/>
      <c r="D167" s="293" t="s">
        <v>63</v>
      </c>
      <c r="E167" s="418"/>
      <c r="F167" s="418"/>
      <c r="G167" s="422"/>
      <c r="H167" s="542" t="s">
        <v>33</v>
      </c>
      <c r="I167" s="424">
        <f ca="1">IFERROR(__xludf.DUMMYFUNCTION("IMPORTRANGE(""https://docs.google.com/spreadsheets/d/1eHaY18a8A9IcSdp1K8H6x8fbOy06t2VsZHhMHf-1x7Y/edit?usp=sharing"",""แผน!Z88"")"),10)</f>
        <v>10</v>
      </c>
      <c r="J167" s="568">
        <v>0</v>
      </c>
      <c r="K167" s="425">
        <f ca="1">IF(I167&gt;0,J167*100/I167,0)</f>
        <v>0</v>
      </c>
      <c r="L167" s="428"/>
      <c r="M167" s="428"/>
      <c r="N167" s="428"/>
      <c r="O167" s="428"/>
      <c r="P167" s="428"/>
    </row>
    <row r="168" spans="1:16" ht="18.75" hidden="1" x14ac:dyDescent="0.25">
      <c r="A168" s="543"/>
      <c r="B168" s="418"/>
      <c r="C168" s="418"/>
      <c r="D168" s="546" t="s">
        <v>64</v>
      </c>
      <c r="E168" s="418"/>
      <c r="F168" s="418"/>
      <c r="G168" s="422"/>
      <c r="H168" s="631" t="s">
        <v>33</v>
      </c>
      <c r="I168" s="199">
        <f ca="1">I167</f>
        <v>10</v>
      </c>
      <c r="J168" s="650">
        <v>0</v>
      </c>
      <c r="K168" s="544">
        <f ca="1">IF(I168&gt;0,J168*100/I168,0)</f>
        <v>0</v>
      </c>
      <c r="L168" s="428"/>
      <c r="M168" s="428"/>
      <c r="N168" s="428"/>
      <c r="O168" s="428"/>
      <c r="P168" s="428"/>
    </row>
    <row r="169" spans="1:16" ht="18.75" hidden="1" x14ac:dyDescent="0.25">
      <c r="A169" s="707"/>
      <c r="B169" s="524"/>
      <c r="C169" s="524"/>
      <c r="D169" s="706" t="s">
        <v>65</v>
      </c>
      <c r="E169" s="524"/>
      <c r="F169" s="524"/>
      <c r="G169" s="523"/>
      <c r="H169" s="705" t="s">
        <v>33</v>
      </c>
      <c r="I169" s="623">
        <f ca="1">I167</f>
        <v>10</v>
      </c>
      <c r="J169" s="704">
        <v>0</v>
      </c>
      <c r="K169" s="703">
        <f ca="1">IF(I169&gt;0,J169*100/I169,0)</f>
        <v>0</v>
      </c>
      <c r="L169" s="521"/>
      <c r="M169" s="521"/>
      <c r="N169" s="521"/>
      <c r="O169" s="521"/>
      <c r="P169" s="521"/>
    </row>
    <row r="170" spans="1:16" ht="19.5" x14ac:dyDescent="0.3">
      <c r="A170" s="702" t="s">
        <v>66</v>
      </c>
      <c r="B170" s="701"/>
      <c r="C170" s="701"/>
      <c r="D170" s="701"/>
      <c r="E170" s="700"/>
      <c r="F170" s="700"/>
      <c r="G170" s="700"/>
      <c r="H170" s="700"/>
      <c r="I170" s="699"/>
      <c r="J170" s="699"/>
      <c r="K170" s="698"/>
      <c r="L170" s="698"/>
      <c r="M170" s="698"/>
      <c r="N170" s="698"/>
      <c r="O170" s="698"/>
      <c r="P170" s="697"/>
    </row>
    <row r="171" spans="1:16" ht="19.5" x14ac:dyDescent="0.3">
      <c r="A171" s="696" t="s">
        <v>67</v>
      </c>
      <c r="B171" s="648"/>
      <c r="C171" s="648"/>
      <c r="D171" s="647"/>
      <c r="E171" s="647"/>
      <c r="F171" s="647"/>
      <c r="G171" s="647"/>
      <c r="H171" s="646"/>
      <c r="I171" s="645"/>
      <c r="J171" s="645"/>
      <c r="K171" s="644"/>
      <c r="L171" s="644"/>
      <c r="M171" s="644"/>
      <c r="N171" s="644"/>
      <c r="O171" s="644"/>
      <c r="P171" s="644"/>
    </row>
    <row r="172" spans="1:16" ht="19.5" x14ac:dyDescent="0.3">
      <c r="A172" s="643"/>
      <c r="B172" s="561" t="s">
        <v>68</v>
      </c>
      <c r="C172" s="641"/>
      <c r="D172" s="535"/>
      <c r="E172" s="535"/>
      <c r="F172" s="535"/>
      <c r="G172" s="534"/>
      <c r="H172" s="691" t="s">
        <v>33</v>
      </c>
      <c r="I172" s="690">
        <f ca="1">I183+I184</f>
        <v>7</v>
      </c>
      <c r="J172" s="690">
        <f>J183+J184</f>
        <v>0</v>
      </c>
      <c r="K172" s="689">
        <f ca="1">IF(I172&gt;0,J172*100/I172,0)</f>
        <v>0</v>
      </c>
      <c r="L172" s="637"/>
      <c r="M172" s="637"/>
      <c r="N172" s="637"/>
      <c r="O172" s="637"/>
      <c r="P172" s="637"/>
    </row>
    <row r="173" spans="1:16" ht="19.5" x14ac:dyDescent="0.3">
      <c r="A173" s="543"/>
      <c r="B173" s="418"/>
      <c r="C173" s="537" t="s">
        <v>16</v>
      </c>
      <c r="D173" s="552" t="s">
        <v>17</v>
      </c>
      <c r="E173" s="418"/>
      <c r="F173" s="418"/>
      <c r="G173" s="422"/>
      <c r="H173" s="551" t="s">
        <v>12</v>
      </c>
      <c r="I173" s="427"/>
      <c r="J173" s="427"/>
      <c r="K173" s="428"/>
      <c r="L173" s="550">
        <f ca="1">L174+L175</f>
        <v>19590</v>
      </c>
      <c r="M173" s="550">
        <f ca="1">M174+M175</f>
        <v>19590</v>
      </c>
      <c r="N173" s="550">
        <f ca="1">N174+N175</f>
        <v>15522</v>
      </c>
      <c r="O173" s="550">
        <f ca="1">IF(L173&gt;0,N173*100/L173,0)</f>
        <v>79.234303215926488</v>
      </c>
      <c r="P173" s="550">
        <f ca="1">IF(M173&gt;0,N173*100/M173,0)</f>
        <v>79.234303215926488</v>
      </c>
    </row>
    <row r="174" spans="1:16" ht="18.75" hidden="1" x14ac:dyDescent="0.25">
      <c r="A174" s="543"/>
      <c r="B174" s="418"/>
      <c r="C174" s="418"/>
      <c r="D174" s="418"/>
      <c r="E174" s="546" t="s">
        <v>18</v>
      </c>
      <c r="F174" s="418"/>
      <c r="G174" s="422"/>
      <c r="H174" s="549" t="s">
        <v>12</v>
      </c>
      <c r="I174" s="427"/>
      <c r="J174" s="427"/>
      <c r="K174" s="428"/>
      <c r="L174" s="544">
        <f>L177+L180</f>
        <v>0</v>
      </c>
      <c r="M174" s="544">
        <f>M177+M180</f>
        <v>0</v>
      </c>
      <c r="N174" s="544">
        <f>N177+N180</f>
        <v>0</v>
      </c>
      <c r="O174" s="544">
        <f>IF(L174&gt;0,N174*100/L174,0)</f>
        <v>0</v>
      </c>
      <c r="P174" s="544">
        <f>IF(M174&gt;0,N174*100/M174,0)</f>
        <v>0</v>
      </c>
    </row>
    <row r="175" spans="1:16" ht="18.75" x14ac:dyDescent="0.25">
      <c r="A175" s="543"/>
      <c r="B175" s="418"/>
      <c r="C175" s="418"/>
      <c r="D175" s="418"/>
      <c r="E175" s="293" t="s">
        <v>19</v>
      </c>
      <c r="F175" s="418"/>
      <c r="G175" s="422"/>
      <c r="H175" s="440" t="s">
        <v>12</v>
      </c>
      <c r="I175" s="427"/>
      <c r="J175" s="427"/>
      <c r="K175" s="428"/>
      <c r="L175" s="425">
        <f ca="1">L178+L181</f>
        <v>19590</v>
      </c>
      <c r="M175" s="425">
        <f ca="1">M178+M181</f>
        <v>19590</v>
      </c>
      <c r="N175" s="425">
        <f ca="1">N178+N181</f>
        <v>15522</v>
      </c>
      <c r="O175" s="425">
        <f ca="1">IF(L175&gt;0,N175*100/L175,0)</f>
        <v>79.234303215926488</v>
      </c>
      <c r="P175" s="425">
        <f ca="1">IF(M175&gt;0,N175*100/M175,0)</f>
        <v>79.234303215926488</v>
      </c>
    </row>
    <row r="176" spans="1:16" ht="18.75" x14ac:dyDescent="0.25">
      <c r="A176" s="543"/>
      <c r="B176" s="418"/>
      <c r="C176" s="418"/>
      <c r="D176" s="547" t="s">
        <v>20</v>
      </c>
      <c r="E176" s="418"/>
      <c r="F176" s="418"/>
      <c r="G176" s="422"/>
      <c r="H176" s="548" t="s">
        <v>12</v>
      </c>
      <c r="I176" s="541"/>
      <c r="J176" s="541"/>
      <c r="K176" s="527"/>
      <c r="L176" s="425">
        <f ca="1">L177+L178</f>
        <v>19590</v>
      </c>
      <c r="M176" s="425">
        <f ca="1">M177+M178</f>
        <v>19590</v>
      </c>
      <c r="N176" s="425">
        <f ca="1">N177+N178</f>
        <v>15522</v>
      </c>
      <c r="O176" s="425">
        <f ca="1">IF(L176&gt;0,N176*100/L176,0)</f>
        <v>79.234303215926488</v>
      </c>
      <c r="P176" s="425">
        <f ca="1">IF(M176&gt;0,N176*100/M176,0)</f>
        <v>79.234303215926488</v>
      </c>
    </row>
    <row r="177" spans="1:16" ht="18.75" hidden="1" x14ac:dyDescent="0.25">
      <c r="A177" s="543"/>
      <c r="B177" s="418"/>
      <c r="C177" s="418"/>
      <c r="D177" s="418"/>
      <c r="E177" s="546" t="s">
        <v>34</v>
      </c>
      <c r="F177" s="418"/>
      <c r="G177" s="422"/>
      <c r="H177" s="545" t="s">
        <v>12</v>
      </c>
      <c r="I177" s="541"/>
      <c r="J177" s="541"/>
      <c r="K177" s="527"/>
      <c r="L177" s="544">
        <v>0</v>
      </c>
      <c r="M177" s="544">
        <v>0</v>
      </c>
      <c r="N177" s="544">
        <v>0</v>
      </c>
      <c r="O177" s="544">
        <f>IF(L177&gt;0,N177*100/L177,0)</f>
        <v>0</v>
      </c>
      <c r="P177" s="544">
        <f>IF(M177&gt;0,N177*100/M177,0)</f>
        <v>0</v>
      </c>
    </row>
    <row r="178" spans="1:16" ht="18.75" x14ac:dyDescent="0.25">
      <c r="A178" s="543"/>
      <c r="B178" s="418"/>
      <c r="C178" s="418"/>
      <c r="D178" s="418"/>
      <c r="E178" s="293" t="s">
        <v>35</v>
      </c>
      <c r="F178" s="418"/>
      <c r="G178" s="422"/>
      <c r="H178" s="548" t="s">
        <v>12</v>
      </c>
      <c r="I178" s="541"/>
      <c r="J178" s="541"/>
      <c r="K178" s="527"/>
      <c r="L178" s="425">
        <f ca="1">IFERROR(__xludf.DUMMYFUNCTION("IMPORTRANGE(""https://docs.google.com/spreadsheets/d/1-uDff_7J0KD5mKrp0Vvzr7lt3OU09vwQwhkpOPPYv2Y/edit?usp=sharing"",""งบพรบ!CK88"")"),19590)</f>
        <v>19590</v>
      </c>
      <c r="M178" s="425">
        <f ca="1">IFERROR(__xludf.DUMMYFUNCTION("IMPORTRANGE(""https://docs.google.com/spreadsheets/d/1-uDff_7J0KD5mKrp0Vvzr7lt3OU09vwQwhkpOPPYv2Y/edit?usp=sharing"",""งบพรบ!CP88"")"),19590)</f>
        <v>19590</v>
      </c>
      <c r="N178" s="425">
        <f ca="1">IFERROR(__xludf.DUMMYFUNCTION("IMPORTRANGE(""https://docs.google.com/spreadsheets/d/1-uDff_7J0KD5mKrp0Vvzr7lt3OU09vwQwhkpOPPYv2Y/edit?usp=sharing"",""งบพรบ!CR88"")"),15522)</f>
        <v>15522</v>
      </c>
      <c r="O178" s="425">
        <f ca="1">IF(L178&gt;0,N178*100/L178,0)</f>
        <v>79.234303215926488</v>
      </c>
      <c r="P178" s="425">
        <f ca="1">IF(M178&gt;0,N178*100/M178,0)</f>
        <v>79.234303215926488</v>
      </c>
    </row>
    <row r="179" spans="1:16" ht="18.75" x14ac:dyDescent="0.25">
      <c r="A179" s="543"/>
      <c r="B179" s="418"/>
      <c r="C179" s="418"/>
      <c r="D179" s="547" t="s">
        <v>21</v>
      </c>
      <c r="E179" s="418"/>
      <c r="F179" s="418"/>
      <c r="G179" s="422"/>
      <c r="H179" s="542" t="s">
        <v>12</v>
      </c>
      <c r="I179" s="541"/>
      <c r="J179" s="541"/>
      <c r="K179" s="527"/>
      <c r="L179" s="425">
        <f ca="1">L180+L181</f>
        <v>0</v>
      </c>
      <c r="M179" s="425">
        <f ca="1">M180+M181</f>
        <v>0</v>
      </c>
      <c r="N179" s="425">
        <f ca="1">N180+N181</f>
        <v>0</v>
      </c>
      <c r="O179" s="425">
        <f ca="1">IF(L179&gt;0,N179*100/L179,0)</f>
        <v>0</v>
      </c>
      <c r="P179" s="425">
        <f ca="1">IF(M179&gt;0,N179*100/M179,0)</f>
        <v>0</v>
      </c>
    </row>
    <row r="180" spans="1:16" ht="18.75" hidden="1" x14ac:dyDescent="0.25">
      <c r="A180" s="543"/>
      <c r="B180" s="418"/>
      <c r="C180" s="418"/>
      <c r="D180" s="418"/>
      <c r="E180" s="546" t="s">
        <v>18</v>
      </c>
      <c r="F180" s="418"/>
      <c r="G180" s="422"/>
      <c r="H180" s="545" t="s">
        <v>12</v>
      </c>
      <c r="I180" s="541"/>
      <c r="J180" s="541"/>
      <c r="K180" s="527"/>
      <c r="L180" s="544">
        <v>0</v>
      </c>
      <c r="M180" s="544">
        <v>0</v>
      </c>
      <c r="N180" s="544">
        <v>0</v>
      </c>
      <c r="O180" s="544">
        <f>IF(L180&gt;0,N180*100/L180,0)</f>
        <v>0</v>
      </c>
      <c r="P180" s="544">
        <f>IF(M180&gt;0,N180*100/M180,0)</f>
        <v>0</v>
      </c>
    </row>
    <row r="181" spans="1:16" ht="18.75" x14ac:dyDescent="0.25">
      <c r="A181" s="543"/>
      <c r="B181" s="418"/>
      <c r="C181" s="418"/>
      <c r="D181" s="418"/>
      <c r="E181" s="293" t="s">
        <v>19</v>
      </c>
      <c r="F181" s="418"/>
      <c r="G181" s="422"/>
      <c r="H181" s="542" t="s">
        <v>12</v>
      </c>
      <c r="I181" s="541"/>
      <c r="J181" s="541"/>
      <c r="K181" s="527"/>
      <c r="L181" s="425">
        <f ca="1">IFERROR(__xludf.DUMMYFUNCTION("IMPORTRANGE(""https://docs.google.com/spreadsheets/d/1-uDff_7J0KD5mKrp0Vvzr7lt3OU09vwQwhkpOPPYv2Y/edit?usp=sharing"",""งบพรบ!CN88"")"),0)</f>
        <v>0</v>
      </c>
      <c r="M181" s="425">
        <f ca="1">IFERROR(__xludf.DUMMYFUNCTION("IMPORTRANGE(""https://docs.google.com/spreadsheets/d/1-uDff_7J0KD5mKrp0Vvzr7lt3OU09vwQwhkpOPPYv2Y/edit?usp=sharing"",""งบพรบ!CQ88"")"),0)</f>
        <v>0</v>
      </c>
      <c r="N181" s="425">
        <f ca="1">IFERROR(__xludf.DUMMYFUNCTION("IMPORTRANGE(""https://docs.google.com/spreadsheets/d/1-uDff_7J0KD5mKrp0Vvzr7lt3OU09vwQwhkpOPPYv2Y/edit?usp=sharing"",""งบพรบ!CS88"")"),0)</f>
        <v>0</v>
      </c>
      <c r="O181" s="425">
        <f ca="1">IF(L181&gt;0,N181*100/L181,0)</f>
        <v>0</v>
      </c>
      <c r="P181" s="425">
        <f ca="1">IF(M181&gt;0,N181*100/M181,0)</f>
        <v>0</v>
      </c>
    </row>
    <row r="182" spans="1:16" ht="19.5" x14ac:dyDescent="0.3">
      <c r="A182" s="531"/>
      <c r="B182" s="430"/>
      <c r="C182" s="537" t="s">
        <v>16</v>
      </c>
      <c r="D182" s="536" t="s">
        <v>36</v>
      </c>
      <c r="E182" s="535"/>
      <c r="F182" s="535"/>
      <c r="G182" s="534"/>
      <c r="H182" s="695"/>
      <c r="I182" s="427"/>
      <c r="J182" s="427"/>
      <c r="K182" s="428"/>
      <c r="L182" s="428"/>
      <c r="M182" s="428"/>
      <c r="N182" s="428"/>
      <c r="O182" s="428"/>
      <c r="P182" s="428"/>
    </row>
    <row r="183" spans="1:16" ht="18.75" x14ac:dyDescent="0.25">
      <c r="A183" s="417"/>
      <c r="B183" s="418"/>
      <c r="C183" s="419"/>
      <c r="D183" s="694" t="s">
        <v>69</v>
      </c>
      <c r="E183" s="418"/>
      <c r="F183" s="418"/>
      <c r="G183" s="422"/>
      <c r="H183" s="423" t="s">
        <v>33</v>
      </c>
      <c r="I183" s="424">
        <f ca="1">IFERROR(__xludf.DUMMYFUNCTION("IMPORTRANGE(""https://docs.google.com/spreadsheets/d/1eHaY18a8A9IcSdp1K8H6x8fbOy06t2VsZHhMHf-1x7Y/edit?usp=sharing"",""แผน!AA88"")"),7)</f>
        <v>7</v>
      </c>
      <c r="J183" s="568">
        <v>0</v>
      </c>
      <c r="K183" s="425">
        <f ca="1">IF(I183&gt;0,J183*100/I183,0)</f>
        <v>0</v>
      </c>
      <c r="L183" s="428"/>
      <c r="M183" s="428"/>
      <c r="N183" s="428"/>
      <c r="O183" s="428"/>
      <c r="P183" s="428"/>
    </row>
    <row r="184" spans="1:16" ht="18.75" hidden="1" x14ac:dyDescent="0.25">
      <c r="A184" s="417"/>
      <c r="B184" s="419"/>
      <c r="C184" s="419"/>
      <c r="D184" s="693" t="s">
        <v>70</v>
      </c>
      <c r="E184" s="418"/>
      <c r="F184" s="418"/>
      <c r="G184" s="422"/>
      <c r="H184" s="692" t="s">
        <v>33</v>
      </c>
      <c r="I184" s="199">
        <v>0</v>
      </c>
      <c r="J184" s="199">
        <v>0</v>
      </c>
      <c r="K184" s="544">
        <f>IF(I184&gt;0,J184*100/I184,0)</f>
        <v>0</v>
      </c>
      <c r="L184" s="428"/>
      <c r="M184" s="428"/>
      <c r="N184" s="428"/>
      <c r="O184" s="428"/>
      <c r="P184" s="428"/>
    </row>
    <row r="185" spans="1:16" ht="19.5" x14ac:dyDescent="0.3">
      <c r="A185" s="643"/>
      <c r="B185" s="561" t="s">
        <v>71</v>
      </c>
      <c r="C185" s="641"/>
      <c r="D185" s="535"/>
      <c r="E185" s="535"/>
      <c r="F185" s="535"/>
      <c r="G185" s="534"/>
      <c r="H185" s="691" t="s">
        <v>33</v>
      </c>
      <c r="I185" s="690">
        <f ca="1">I230+I231</f>
        <v>0</v>
      </c>
      <c r="J185" s="690">
        <f>J230+J231</f>
        <v>0</v>
      </c>
      <c r="K185" s="689">
        <f ca="1">IF(I185&gt;0,J185*100/I185,0)</f>
        <v>0</v>
      </c>
      <c r="L185" s="637"/>
      <c r="M185" s="637"/>
      <c r="N185" s="637"/>
      <c r="O185" s="637"/>
      <c r="P185" s="637"/>
    </row>
    <row r="186" spans="1:16" ht="19.5" x14ac:dyDescent="0.3">
      <c r="A186" s="543"/>
      <c r="B186" s="418"/>
      <c r="C186" s="537" t="s">
        <v>16</v>
      </c>
      <c r="D186" s="552" t="s">
        <v>17</v>
      </c>
      <c r="E186" s="418"/>
      <c r="F186" s="418"/>
      <c r="G186" s="422"/>
      <c r="H186" s="551" t="s">
        <v>12</v>
      </c>
      <c r="I186" s="427"/>
      <c r="J186" s="427"/>
      <c r="K186" s="428"/>
      <c r="L186" s="550">
        <f ca="1">L187+L188</f>
        <v>223500</v>
      </c>
      <c r="M186" s="550">
        <f ca="1">M187+M188</f>
        <v>152500</v>
      </c>
      <c r="N186" s="550">
        <f ca="1">N187+N188</f>
        <v>52526.67</v>
      </c>
      <c r="O186" s="550">
        <f ca="1">IF(L186&gt;0,N186*100/L186,0)</f>
        <v>23.501865771812081</v>
      </c>
      <c r="P186" s="550">
        <f ca="1">IF(M186&gt;0,N186*100/M186,0)</f>
        <v>34.443718032786883</v>
      </c>
    </row>
    <row r="187" spans="1:16" ht="18.75" hidden="1" x14ac:dyDescent="0.25">
      <c r="A187" s="543"/>
      <c r="B187" s="418"/>
      <c r="C187" s="418"/>
      <c r="D187" s="418"/>
      <c r="E187" s="546" t="s">
        <v>18</v>
      </c>
      <c r="F187" s="418"/>
      <c r="G187" s="422"/>
      <c r="H187" s="549" t="s">
        <v>12</v>
      </c>
      <c r="I187" s="427"/>
      <c r="J187" s="427"/>
      <c r="K187" s="428"/>
      <c r="L187" s="544">
        <f>L190+L193</f>
        <v>0</v>
      </c>
      <c r="M187" s="544">
        <f>M190+M193</f>
        <v>0</v>
      </c>
      <c r="N187" s="544">
        <f>N190+N193</f>
        <v>0</v>
      </c>
      <c r="O187" s="544">
        <f>IF(L187&gt;0,N187*100/L187,0)</f>
        <v>0</v>
      </c>
      <c r="P187" s="544">
        <f>IF(M187&gt;0,N187*100/M187,0)</f>
        <v>0</v>
      </c>
    </row>
    <row r="188" spans="1:16" ht="18.75" x14ac:dyDescent="0.25">
      <c r="A188" s="543"/>
      <c r="B188" s="418"/>
      <c r="C188" s="418"/>
      <c r="D188" s="418"/>
      <c r="E188" s="293" t="s">
        <v>19</v>
      </c>
      <c r="F188" s="418"/>
      <c r="G188" s="422"/>
      <c r="H188" s="440" t="s">
        <v>12</v>
      </c>
      <c r="I188" s="427"/>
      <c r="J188" s="427"/>
      <c r="K188" s="428"/>
      <c r="L188" s="425">
        <f ca="1">L191+L194</f>
        <v>223500</v>
      </c>
      <c r="M188" s="425">
        <f ca="1">M191+M194</f>
        <v>152500</v>
      </c>
      <c r="N188" s="425">
        <f ca="1">N191+N194</f>
        <v>52526.67</v>
      </c>
      <c r="O188" s="425">
        <f ca="1">IF(L188&gt;0,N188*100/L188,0)</f>
        <v>23.501865771812081</v>
      </c>
      <c r="P188" s="425">
        <f ca="1">IF(M188&gt;0,N188*100/M188,0)</f>
        <v>34.443718032786883</v>
      </c>
    </row>
    <row r="189" spans="1:16" ht="18.75" x14ac:dyDescent="0.25">
      <c r="A189" s="543"/>
      <c r="B189" s="418"/>
      <c r="C189" s="418"/>
      <c r="D189" s="547" t="s">
        <v>20</v>
      </c>
      <c r="E189" s="418"/>
      <c r="F189" s="418"/>
      <c r="G189" s="422"/>
      <c r="H189" s="548" t="s">
        <v>12</v>
      </c>
      <c r="I189" s="541"/>
      <c r="J189" s="541"/>
      <c r="K189" s="527"/>
      <c r="L189" s="425">
        <f ca="1">L190+L191</f>
        <v>223500</v>
      </c>
      <c r="M189" s="425">
        <f ca="1">M190+M191</f>
        <v>152500</v>
      </c>
      <c r="N189" s="425">
        <f ca="1">N190+N191</f>
        <v>52526.67</v>
      </c>
      <c r="O189" s="425">
        <f ca="1">IF(L189&gt;0,N189*100/L189,0)</f>
        <v>23.501865771812081</v>
      </c>
      <c r="P189" s="425">
        <f ca="1">IF(M189&gt;0,N189*100/M189,0)</f>
        <v>34.443718032786883</v>
      </c>
    </row>
    <row r="190" spans="1:16" ht="18.75" hidden="1" x14ac:dyDescent="0.25">
      <c r="A190" s="543"/>
      <c r="B190" s="418"/>
      <c r="C190" s="418"/>
      <c r="D190" s="418"/>
      <c r="E190" s="546" t="s">
        <v>34</v>
      </c>
      <c r="F190" s="418"/>
      <c r="G190" s="422"/>
      <c r="H190" s="545" t="s">
        <v>12</v>
      </c>
      <c r="I190" s="541"/>
      <c r="J190" s="541"/>
      <c r="K190" s="527"/>
      <c r="L190" s="544">
        <v>0</v>
      </c>
      <c r="M190" s="544">
        <v>0</v>
      </c>
      <c r="N190" s="544">
        <v>0</v>
      </c>
      <c r="O190" s="544">
        <f>IF(L190&gt;0,N190*100/L190,0)</f>
        <v>0</v>
      </c>
      <c r="P190" s="544">
        <f>IF(M190&gt;0,N190*100/M190,0)</f>
        <v>0</v>
      </c>
    </row>
    <row r="191" spans="1:16" ht="18.75" x14ac:dyDescent="0.25">
      <c r="A191" s="543"/>
      <c r="B191" s="418"/>
      <c r="C191" s="418"/>
      <c r="D191" s="418"/>
      <c r="E191" s="293" t="s">
        <v>35</v>
      </c>
      <c r="F191" s="418"/>
      <c r="G191" s="422"/>
      <c r="H191" s="548" t="s">
        <v>12</v>
      </c>
      <c r="I191" s="541"/>
      <c r="J191" s="541"/>
      <c r="K191" s="527"/>
      <c r="L191" s="425">
        <f ca="1">IFERROR(__xludf.DUMMYFUNCTION("IMPORTRANGE(""https://docs.google.com/spreadsheets/d/1-uDff_7J0KD5mKrp0Vvzr7lt3OU09vwQwhkpOPPYv2Y/edit?usp=sharing"",""งบพรบ!CU88"")"),223500)</f>
        <v>223500</v>
      </c>
      <c r="M191" s="425">
        <f ca="1">IFERROR(__xludf.DUMMYFUNCTION("IMPORTRANGE(""https://docs.google.com/spreadsheets/d/1-uDff_7J0KD5mKrp0Vvzr7lt3OU09vwQwhkpOPPYv2Y/edit?usp=sharing"",""งบพรบ!CZ88"")"),152500)</f>
        <v>152500</v>
      </c>
      <c r="N191" s="425">
        <f ca="1">IFERROR(__xludf.DUMMYFUNCTION("IMPORTRANGE(""https://docs.google.com/spreadsheets/d/1-uDff_7J0KD5mKrp0Vvzr7lt3OU09vwQwhkpOPPYv2Y/edit?usp=sharing"",""งบพรบ!DB88"")"),52526.67)</f>
        <v>52526.67</v>
      </c>
      <c r="O191" s="425">
        <f ca="1">IF(L191&gt;0,N191*100/L191,0)</f>
        <v>23.501865771812081</v>
      </c>
      <c r="P191" s="425">
        <f ca="1">IF(M191&gt;0,N191*100/M191,0)</f>
        <v>34.443718032786883</v>
      </c>
    </row>
    <row r="192" spans="1:16" ht="18.75" x14ac:dyDescent="0.25">
      <c r="A192" s="543"/>
      <c r="B192" s="418"/>
      <c r="C192" s="418"/>
      <c r="D192" s="547" t="s">
        <v>21</v>
      </c>
      <c r="E192" s="418"/>
      <c r="F192" s="418"/>
      <c r="G192" s="422"/>
      <c r="H192" s="542" t="s">
        <v>12</v>
      </c>
      <c r="I192" s="541"/>
      <c r="J192" s="541"/>
      <c r="K192" s="527"/>
      <c r="L192" s="425">
        <f ca="1">L193+L194</f>
        <v>0</v>
      </c>
      <c r="M192" s="425">
        <f ca="1">M193+M194</f>
        <v>0</v>
      </c>
      <c r="N192" s="425">
        <f ca="1">N193+N194</f>
        <v>0</v>
      </c>
      <c r="O192" s="425">
        <f ca="1">IF(L192&gt;0,N192*100/L192,0)</f>
        <v>0</v>
      </c>
      <c r="P192" s="425">
        <f ca="1">IF(M192&gt;0,N192*100/M192,0)</f>
        <v>0</v>
      </c>
    </row>
    <row r="193" spans="1:16" ht="18.75" hidden="1" x14ac:dyDescent="0.25">
      <c r="A193" s="543"/>
      <c r="B193" s="418"/>
      <c r="C193" s="418"/>
      <c r="D193" s="418"/>
      <c r="E193" s="546" t="s">
        <v>18</v>
      </c>
      <c r="F193" s="418"/>
      <c r="G193" s="422"/>
      <c r="H193" s="545" t="s">
        <v>12</v>
      </c>
      <c r="I193" s="541"/>
      <c r="J193" s="541"/>
      <c r="K193" s="527"/>
      <c r="L193" s="544">
        <v>0</v>
      </c>
      <c r="M193" s="544">
        <v>0</v>
      </c>
      <c r="N193" s="544">
        <v>0</v>
      </c>
      <c r="O193" s="544">
        <f>IF(L193&gt;0,N193*100/L193,0)</f>
        <v>0</v>
      </c>
      <c r="P193" s="544">
        <f>IF(M193&gt;0,N193*100/M193,0)</f>
        <v>0</v>
      </c>
    </row>
    <row r="194" spans="1:16" ht="18.75" x14ac:dyDescent="0.25">
      <c r="A194" s="543"/>
      <c r="B194" s="418"/>
      <c r="C194" s="418"/>
      <c r="D194" s="418"/>
      <c r="E194" s="293" t="s">
        <v>19</v>
      </c>
      <c r="F194" s="418"/>
      <c r="G194" s="422"/>
      <c r="H194" s="542" t="s">
        <v>12</v>
      </c>
      <c r="I194" s="541"/>
      <c r="J194" s="541"/>
      <c r="K194" s="527"/>
      <c r="L194" s="425">
        <f ca="1">IFERROR(__xludf.DUMMYFUNCTION("IMPORTRANGE(""https://docs.google.com/spreadsheets/d/1-uDff_7J0KD5mKrp0Vvzr7lt3OU09vwQwhkpOPPYv2Y/edit?usp=sharing"",""งบพรบ!CX88"")"),0)</f>
        <v>0</v>
      </c>
      <c r="M194" s="425">
        <f ca="1">IFERROR(__xludf.DUMMYFUNCTION("IMPORTRANGE(""https://docs.google.com/spreadsheets/d/1-uDff_7J0KD5mKrp0Vvzr7lt3OU09vwQwhkpOPPYv2Y/edit?usp=sharing"",""งบพรบ!DA88"")"),0)</f>
        <v>0</v>
      </c>
      <c r="N194" s="425">
        <f ca="1">IFERROR(__xludf.DUMMYFUNCTION("IMPORTRANGE(""https://docs.google.com/spreadsheets/d/1-uDff_7J0KD5mKrp0Vvzr7lt3OU09vwQwhkpOPPYv2Y/edit?usp=sharing"",""งบพรบ!DC88"")"),0)</f>
        <v>0</v>
      </c>
      <c r="O194" s="425">
        <f ca="1">IF(L194&gt;0,N194*100/L194,0)</f>
        <v>0</v>
      </c>
      <c r="P194" s="425">
        <f ca="1">IF(M194&gt;0,N194*100/M194,0)</f>
        <v>0</v>
      </c>
    </row>
    <row r="195" spans="1:16" ht="19.5" x14ac:dyDescent="0.3">
      <c r="A195" s="432"/>
      <c r="B195" s="434"/>
      <c r="C195" s="686" t="s">
        <v>72</v>
      </c>
      <c r="D195" s="433"/>
      <c r="E195" s="433"/>
      <c r="F195" s="433"/>
      <c r="G195" s="436"/>
      <c r="H195" s="437" t="s">
        <v>73</v>
      </c>
      <c r="I195" s="438">
        <f ca="1">I198</f>
        <v>4</v>
      </c>
      <c r="J195" s="438">
        <f>J198</f>
        <v>0</v>
      </c>
      <c r="K195" s="439">
        <f ca="1">IF(I195&gt;0,J195*100/I195,0)</f>
        <v>0</v>
      </c>
      <c r="L195" s="538"/>
      <c r="M195" s="538"/>
      <c r="N195" s="538"/>
      <c r="O195" s="538"/>
      <c r="P195" s="538"/>
    </row>
    <row r="196" spans="1:16" ht="19.5" x14ac:dyDescent="0.3">
      <c r="A196" s="543"/>
      <c r="B196" s="418"/>
      <c r="C196" s="537" t="s">
        <v>16</v>
      </c>
      <c r="D196" s="685" t="s">
        <v>17</v>
      </c>
      <c r="E196" s="418"/>
      <c r="F196" s="418"/>
      <c r="G196" s="422"/>
      <c r="H196" s="684" t="s">
        <v>12</v>
      </c>
      <c r="I196" s="427"/>
      <c r="J196" s="427"/>
      <c r="K196" s="428"/>
      <c r="L196" s="550">
        <f ca="1">IFERROR(__xludf.DUMMYFUNCTION("IMPORTRANGE(""https://docs.google.com/spreadsheets/d/1eHaY18a8A9IcSdp1K8H6x8fbOy06t2VsZHhMHf-1x7Y/edit?usp=sharing"",""แผน!AB88"")"),6000)</f>
        <v>6000</v>
      </c>
      <c r="M196" s="428"/>
      <c r="N196" s="688">
        <v>0</v>
      </c>
      <c r="O196" s="550">
        <f ca="1">IF(L196&gt;0,N196*100/L196,0)</f>
        <v>0</v>
      </c>
      <c r="P196" s="550">
        <f>IF(M196&gt;0,N196*100/M196,0)</f>
        <v>0</v>
      </c>
    </row>
    <row r="197" spans="1:16" ht="19.5" x14ac:dyDescent="0.3">
      <c r="A197" s="531"/>
      <c r="B197" s="430"/>
      <c r="C197" s="537" t="s">
        <v>16</v>
      </c>
      <c r="D197" s="536" t="s">
        <v>36</v>
      </c>
      <c r="E197" s="535"/>
      <c r="F197" s="535"/>
      <c r="G197" s="534"/>
      <c r="H197" s="530"/>
      <c r="I197" s="427"/>
      <c r="J197" s="427"/>
      <c r="K197" s="428"/>
      <c r="L197" s="428"/>
      <c r="M197" s="428"/>
      <c r="N197" s="428"/>
      <c r="O197" s="428"/>
      <c r="P197" s="428"/>
    </row>
    <row r="198" spans="1:16" ht="18.75" x14ac:dyDescent="0.25">
      <c r="A198" s="531"/>
      <c r="B198" s="430"/>
      <c r="C198" s="430"/>
      <c r="D198" s="421" t="s">
        <v>74</v>
      </c>
      <c r="E198" s="420"/>
      <c r="F198" s="420"/>
      <c r="G198" s="530"/>
      <c r="H198" s="529" t="s">
        <v>73</v>
      </c>
      <c r="I198" s="424">
        <f ca="1">IFERROR(__xludf.DUMMYFUNCTION("IMPORTRANGE(""https://docs.google.com/spreadsheets/d/1eHaY18a8A9IcSdp1K8H6x8fbOy06t2VsZHhMHf-1x7Y/edit?usp=sharing"",""แผน!AE88"")"),4)</f>
        <v>4</v>
      </c>
      <c r="J198" s="568">
        <v>0</v>
      </c>
      <c r="K198" s="425">
        <f ca="1">IF(I198&gt;0,J198*100/I198,0)</f>
        <v>0</v>
      </c>
      <c r="L198" s="428"/>
      <c r="M198" s="428"/>
      <c r="N198" s="428"/>
      <c r="O198" s="428"/>
      <c r="P198" s="428"/>
    </row>
    <row r="199" spans="1:16" ht="18.75" x14ac:dyDescent="0.25">
      <c r="A199" s="531"/>
      <c r="B199" s="430"/>
      <c r="C199" s="430"/>
      <c r="D199" s="421" t="s">
        <v>75</v>
      </c>
      <c r="E199" s="420"/>
      <c r="F199" s="420"/>
      <c r="G199" s="530"/>
      <c r="H199" s="423" t="s">
        <v>33</v>
      </c>
      <c r="I199" s="427"/>
      <c r="J199" s="424">
        <f>J200+J201</f>
        <v>0</v>
      </c>
      <c r="K199" s="428"/>
      <c r="L199" s="428"/>
      <c r="M199" s="428"/>
      <c r="N199" s="428"/>
      <c r="O199" s="428"/>
      <c r="P199" s="428"/>
    </row>
    <row r="200" spans="1:16" ht="18.75" x14ac:dyDescent="0.25">
      <c r="A200" s="531"/>
      <c r="B200" s="430"/>
      <c r="C200" s="430"/>
      <c r="D200" s="430"/>
      <c r="E200" s="421" t="s">
        <v>76</v>
      </c>
      <c r="F200" s="420"/>
      <c r="G200" s="530"/>
      <c r="H200" s="423" t="s">
        <v>33</v>
      </c>
      <c r="I200" s="427"/>
      <c r="J200" s="568">
        <v>0</v>
      </c>
      <c r="K200" s="428"/>
      <c r="L200" s="428"/>
      <c r="M200" s="428"/>
      <c r="N200" s="428"/>
      <c r="O200" s="428"/>
      <c r="P200" s="428"/>
    </row>
    <row r="201" spans="1:16" ht="18.75" x14ac:dyDescent="0.25">
      <c r="A201" s="531"/>
      <c r="B201" s="430"/>
      <c r="C201" s="430"/>
      <c r="D201" s="430"/>
      <c r="E201" s="421" t="s">
        <v>77</v>
      </c>
      <c r="F201" s="420"/>
      <c r="G201" s="530"/>
      <c r="H201" s="423" t="s">
        <v>33</v>
      </c>
      <c r="I201" s="427"/>
      <c r="J201" s="568">
        <v>0</v>
      </c>
      <c r="K201" s="428"/>
      <c r="L201" s="428"/>
      <c r="M201" s="428"/>
      <c r="N201" s="428"/>
      <c r="O201" s="428"/>
      <c r="P201" s="428"/>
    </row>
    <row r="202" spans="1:16" ht="19.5" x14ac:dyDescent="0.3">
      <c r="A202" s="432"/>
      <c r="B202" s="434"/>
      <c r="C202" s="686" t="s">
        <v>78</v>
      </c>
      <c r="D202" s="433"/>
      <c r="E202" s="433"/>
      <c r="F202" s="433"/>
      <c r="G202" s="436"/>
      <c r="H202" s="539" t="s">
        <v>79</v>
      </c>
      <c r="I202" s="438">
        <f ca="1">I209</f>
        <v>2</v>
      </c>
      <c r="J202" s="438">
        <f>J209</f>
        <v>0</v>
      </c>
      <c r="K202" s="439">
        <f ca="1">IF(I202&gt;0,J202*100/I202,0)</f>
        <v>0</v>
      </c>
      <c r="L202" s="538"/>
      <c r="M202" s="538"/>
      <c r="N202" s="538"/>
      <c r="O202" s="538"/>
      <c r="P202" s="538"/>
    </row>
    <row r="203" spans="1:16" ht="19.5" x14ac:dyDescent="0.3">
      <c r="A203" s="543"/>
      <c r="B203" s="418"/>
      <c r="C203" s="537" t="s">
        <v>16</v>
      </c>
      <c r="D203" s="685" t="s">
        <v>17</v>
      </c>
      <c r="E203" s="418"/>
      <c r="F203" s="418"/>
      <c r="G203" s="422"/>
      <c r="H203" s="684" t="s">
        <v>12</v>
      </c>
      <c r="I203" s="541"/>
      <c r="J203" s="541"/>
      <c r="K203" s="527"/>
      <c r="L203" s="550">
        <f ca="1">L204+L205+L206+L207</f>
        <v>31000</v>
      </c>
      <c r="M203" s="428"/>
      <c r="N203" s="550">
        <f>N204+N205+N206+N207</f>
        <v>960</v>
      </c>
      <c r="O203" s="550">
        <f ca="1">IF(L203&gt;0,N203*100/L203,0)</f>
        <v>3.096774193548387</v>
      </c>
      <c r="P203" s="550">
        <f>IF(M203&gt;0,N203*100/M203,0)</f>
        <v>0</v>
      </c>
    </row>
    <row r="204" spans="1:16" ht="18.75" x14ac:dyDescent="0.25">
      <c r="A204" s="543"/>
      <c r="B204" s="419"/>
      <c r="C204" s="418"/>
      <c r="D204" s="292" t="s">
        <v>157</v>
      </c>
      <c r="E204" s="418"/>
      <c r="F204" s="418"/>
      <c r="G204" s="422"/>
      <c r="H204" s="548" t="s">
        <v>12</v>
      </c>
      <c r="I204" s="541"/>
      <c r="J204" s="541"/>
      <c r="K204" s="527"/>
      <c r="L204" s="425">
        <f ca="1">IFERROR(__xludf.DUMMYFUNCTION("IMPORTRANGE(""https://docs.google.com/spreadsheets/d/1eHaY18a8A9IcSdp1K8H6x8fbOy06t2VsZHhMHf-1x7Y/edit?usp=sharing"",""แผน!AG88"")"),2000)</f>
        <v>2000</v>
      </c>
      <c r="M204" s="428"/>
      <c r="N204" s="683">
        <v>960</v>
      </c>
      <c r="O204" s="527"/>
      <c r="P204" s="428"/>
    </row>
    <row r="205" spans="1:16" ht="18.75" x14ac:dyDescent="0.25">
      <c r="A205" s="417"/>
      <c r="B205" s="419"/>
      <c r="C205" s="418"/>
      <c r="D205" s="293" t="s">
        <v>81</v>
      </c>
      <c r="E205" s="418"/>
      <c r="F205" s="418"/>
      <c r="G205" s="422"/>
      <c r="H205" s="569" t="s">
        <v>12</v>
      </c>
      <c r="I205" s="427"/>
      <c r="J205" s="427"/>
      <c r="K205" s="428"/>
      <c r="L205" s="425">
        <f ca="1">IFERROR(__xludf.DUMMYFUNCTION("IMPORTRANGE(""https://docs.google.com/spreadsheets/d/1eHaY18a8A9IcSdp1K8H6x8fbOy06t2VsZHhMHf-1x7Y/edit?usp=sharing"",""แผน!AH88"")"),0)</f>
        <v>0</v>
      </c>
      <c r="M205" s="428"/>
      <c r="N205" s="683">
        <v>0</v>
      </c>
      <c r="O205" s="527"/>
      <c r="P205" s="428"/>
    </row>
    <row r="206" spans="1:16" ht="18.75" x14ac:dyDescent="0.25">
      <c r="A206" s="417"/>
      <c r="B206" s="419"/>
      <c r="C206" s="418"/>
      <c r="D206" s="293" t="s">
        <v>82</v>
      </c>
      <c r="E206" s="418"/>
      <c r="F206" s="418"/>
      <c r="G206" s="422"/>
      <c r="H206" s="569" t="s">
        <v>12</v>
      </c>
      <c r="I206" s="427"/>
      <c r="J206" s="427"/>
      <c r="K206" s="428"/>
      <c r="L206" s="425">
        <f ca="1">IFERROR(__xludf.DUMMYFUNCTION("IMPORTRANGE(""https://docs.google.com/spreadsheets/d/1eHaY18a8A9IcSdp1K8H6x8fbOy06t2VsZHhMHf-1x7Y/edit?usp=sharing"",""แผน!AI88"")"),16000)</f>
        <v>16000</v>
      </c>
      <c r="M206" s="428"/>
      <c r="N206" s="683">
        <v>0</v>
      </c>
      <c r="O206" s="527"/>
      <c r="P206" s="428"/>
    </row>
    <row r="207" spans="1:16" ht="18.75" x14ac:dyDescent="0.25">
      <c r="A207" s="417"/>
      <c r="B207" s="419"/>
      <c r="C207" s="418"/>
      <c r="D207" s="293" t="s">
        <v>83</v>
      </c>
      <c r="E207" s="418"/>
      <c r="F207" s="418"/>
      <c r="G207" s="422"/>
      <c r="H207" s="569" t="s">
        <v>12</v>
      </c>
      <c r="I207" s="427"/>
      <c r="J207" s="427"/>
      <c r="K207" s="428"/>
      <c r="L207" s="425">
        <f ca="1">IFERROR(__xludf.DUMMYFUNCTION("IMPORTRANGE(""https://docs.google.com/spreadsheets/d/1eHaY18a8A9IcSdp1K8H6x8fbOy06t2VsZHhMHf-1x7Y/edit?usp=sharing"",""แผน!AJ88"")"),13000)</f>
        <v>13000</v>
      </c>
      <c r="M207" s="428"/>
      <c r="N207" s="683">
        <v>0</v>
      </c>
      <c r="O207" s="527"/>
      <c r="P207" s="428"/>
    </row>
    <row r="208" spans="1:16" ht="19.5" x14ac:dyDescent="0.3">
      <c r="A208" s="531"/>
      <c r="B208" s="430"/>
      <c r="C208" s="537" t="s">
        <v>16</v>
      </c>
      <c r="D208" s="536" t="s">
        <v>36</v>
      </c>
      <c r="E208" s="535"/>
      <c r="F208" s="535"/>
      <c r="G208" s="534"/>
      <c r="H208" s="530"/>
      <c r="I208" s="541"/>
      <c r="J208" s="541"/>
      <c r="K208" s="527"/>
      <c r="L208" s="527"/>
      <c r="M208" s="527"/>
      <c r="N208" s="527"/>
      <c r="O208" s="527"/>
      <c r="P208" s="527"/>
    </row>
    <row r="209" spans="1:16" ht="18.75" x14ac:dyDescent="0.25">
      <c r="A209" s="531"/>
      <c r="B209" s="430"/>
      <c r="C209" s="430"/>
      <c r="D209" s="532" t="s">
        <v>84</v>
      </c>
      <c r="E209" s="420"/>
      <c r="F209" s="420"/>
      <c r="G209" s="530"/>
      <c r="H209" s="687" t="s">
        <v>79</v>
      </c>
      <c r="I209" s="424">
        <f ca="1">IFERROR(__xludf.DUMMYFUNCTION("IMPORTRANGE(""https://docs.google.com/spreadsheets/d/1eHaY18a8A9IcSdp1K8H6x8fbOy06t2VsZHhMHf-1x7Y/edit?usp=sharing"",""แผน!AK88"")"),2)</f>
        <v>2</v>
      </c>
      <c r="J209" s="568">
        <v>0</v>
      </c>
      <c r="K209" s="594">
        <f ca="1">IF(I209&gt;0,J209*100/I209,0)</f>
        <v>0</v>
      </c>
      <c r="L209" s="428"/>
      <c r="M209" s="428"/>
      <c r="N209" s="428"/>
      <c r="O209" s="428"/>
      <c r="P209" s="428"/>
    </row>
    <row r="210" spans="1:16" ht="18.75" x14ac:dyDescent="0.25">
      <c r="A210" s="531"/>
      <c r="B210" s="430"/>
      <c r="C210" s="430"/>
      <c r="D210" s="421" t="s">
        <v>48</v>
      </c>
      <c r="E210" s="420"/>
      <c r="F210" s="420"/>
      <c r="G210" s="530"/>
      <c r="H210" s="530"/>
      <c r="I210" s="427"/>
      <c r="J210" s="427"/>
      <c r="K210" s="527"/>
      <c r="L210" s="428"/>
      <c r="M210" s="428"/>
      <c r="N210" s="428"/>
      <c r="O210" s="428"/>
      <c r="P210" s="428"/>
    </row>
    <row r="211" spans="1:16" ht="18.75" x14ac:dyDescent="0.25">
      <c r="A211" s="531"/>
      <c r="B211" s="430"/>
      <c r="C211" s="430"/>
      <c r="D211" s="420"/>
      <c r="E211" s="421" t="s">
        <v>85</v>
      </c>
      <c r="F211" s="420"/>
      <c r="G211" s="530"/>
      <c r="H211" s="687" t="s">
        <v>79</v>
      </c>
      <c r="I211" s="424">
        <f ca="1">IFERROR(__xludf.DUMMYFUNCTION("IMPORTRANGE(""https://docs.google.com/spreadsheets/d/1eHaY18a8A9IcSdp1K8H6x8fbOy06t2VsZHhMHf-1x7Y/edit?usp=sharing"",""แผน!JX88"")"),2)</f>
        <v>2</v>
      </c>
      <c r="J211" s="568">
        <v>0</v>
      </c>
      <c r="K211" s="594">
        <f ca="1">IF(I211&gt;0,J211*100/I211,0)</f>
        <v>0</v>
      </c>
      <c r="L211" s="428"/>
      <c r="M211" s="428"/>
      <c r="N211" s="428"/>
      <c r="O211" s="428"/>
      <c r="P211" s="428"/>
    </row>
    <row r="212" spans="1:16" ht="18.75" x14ac:dyDescent="0.25">
      <c r="A212" s="531"/>
      <c r="B212" s="430"/>
      <c r="C212" s="430"/>
      <c r="D212" s="420"/>
      <c r="E212" s="421" t="s">
        <v>86</v>
      </c>
      <c r="F212" s="420"/>
      <c r="G212" s="420"/>
      <c r="H212" s="529" t="s">
        <v>87</v>
      </c>
      <c r="I212" s="424">
        <f ca="1">IFERROR(__xludf.DUMMYFUNCTION("IMPORTRANGE(""https://docs.google.com/spreadsheets/d/1eHaY18a8A9IcSdp1K8H6x8fbOy06t2VsZHhMHf-1x7Y/edit?usp=sharing"",""แผน!JY88"")"),1)</f>
        <v>1</v>
      </c>
      <c r="J212" s="568">
        <v>0</v>
      </c>
      <c r="K212" s="594">
        <f ca="1">IF(I212&gt;0,J212*100/I212,0)</f>
        <v>0</v>
      </c>
      <c r="L212" s="428"/>
      <c r="M212" s="428"/>
      <c r="N212" s="428"/>
      <c r="O212" s="428"/>
      <c r="P212" s="428"/>
    </row>
    <row r="213" spans="1:16" ht="19.5" hidden="1" x14ac:dyDescent="0.3">
      <c r="A213" s="432"/>
      <c r="B213" s="434"/>
      <c r="C213" s="686" t="s">
        <v>88</v>
      </c>
      <c r="D213" s="433"/>
      <c r="E213" s="433"/>
      <c r="F213" s="433"/>
      <c r="G213" s="436"/>
      <c r="H213" s="539" t="s">
        <v>79</v>
      </c>
      <c r="I213" s="438">
        <f ca="1">I220</f>
        <v>0</v>
      </c>
      <c r="J213" s="438">
        <f>J220</f>
        <v>0</v>
      </c>
      <c r="K213" s="439">
        <f ca="1">IF(I213&gt;0,J213*100/I213,0)</f>
        <v>0</v>
      </c>
      <c r="L213" s="538"/>
      <c r="M213" s="538"/>
      <c r="N213" s="538"/>
      <c r="O213" s="538"/>
      <c r="P213" s="538"/>
    </row>
    <row r="214" spans="1:16" ht="19.5" hidden="1" x14ac:dyDescent="0.3">
      <c r="A214" s="543"/>
      <c r="B214" s="418"/>
      <c r="C214" s="537" t="s">
        <v>16</v>
      </c>
      <c r="D214" s="685" t="s">
        <v>17</v>
      </c>
      <c r="E214" s="418"/>
      <c r="F214" s="418"/>
      <c r="G214" s="422"/>
      <c r="H214" s="684" t="s">
        <v>12</v>
      </c>
      <c r="I214" s="541"/>
      <c r="J214" s="541"/>
      <c r="K214" s="527"/>
      <c r="L214" s="550">
        <f ca="1">L215+L216+L217</f>
        <v>0</v>
      </c>
      <c r="M214" s="428"/>
      <c r="N214" s="550">
        <f>N215+N216+N217</f>
        <v>0</v>
      </c>
      <c r="O214" s="550">
        <f ca="1">IF(L214&gt;0,N214*100/L214,0)</f>
        <v>0</v>
      </c>
      <c r="P214" s="550">
        <f>IF(M214&gt;0,N214*100/M214,0)</f>
        <v>0</v>
      </c>
    </row>
    <row r="215" spans="1:16" ht="18.75" hidden="1" x14ac:dyDescent="0.25">
      <c r="A215" s="543"/>
      <c r="B215" s="419"/>
      <c r="C215" s="418"/>
      <c r="D215" s="293" t="s">
        <v>80</v>
      </c>
      <c r="E215" s="418"/>
      <c r="F215" s="418"/>
      <c r="G215" s="422"/>
      <c r="H215" s="548" t="s">
        <v>12</v>
      </c>
      <c r="I215" s="541"/>
      <c r="J215" s="541"/>
      <c r="K215" s="527"/>
      <c r="L215" s="425">
        <f ca="1">IFERROR(__xludf.DUMMYFUNCTION("IMPORTRANGE(""https://docs.google.com/spreadsheets/d/1eHaY18a8A9IcSdp1K8H6x8fbOy06t2VsZHhMHf-1x7Y/edit?usp=sharing"",""แผน!AM88"")"),0)</f>
        <v>0</v>
      </c>
      <c r="M215" s="428"/>
      <c r="N215" s="683">
        <v>0</v>
      </c>
      <c r="O215" s="527"/>
      <c r="P215" s="428"/>
    </row>
    <row r="216" spans="1:16" ht="18.75" hidden="1" x14ac:dyDescent="0.25">
      <c r="A216" s="417"/>
      <c r="B216" s="419"/>
      <c r="C216" s="419"/>
      <c r="D216" s="293" t="s">
        <v>89</v>
      </c>
      <c r="E216" s="418"/>
      <c r="F216" s="418"/>
      <c r="G216" s="422"/>
      <c r="H216" s="548" t="s">
        <v>12</v>
      </c>
      <c r="I216" s="427"/>
      <c r="J216" s="427"/>
      <c r="K216" s="428"/>
      <c r="L216" s="425">
        <f ca="1">IFERROR(__xludf.DUMMYFUNCTION("IMPORTRANGE(""https://docs.google.com/spreadsheets/d/1eHaY18a8A9IcSdp1K8H6x8fbOy06t2VsZHhMHf-1x7Y/edit?usp=sharing"",""แผน!AN88"")"),0)</f>
        <v>0</v>
      </c>
      <c r="M216" s="428"/>
      <c r="N216" s="683">
        <v>0</v>
      </c>
      <c r="O216" s="527"/>
      <c r="P216" s="428"/>
    </row>
    <row r="217" spans="1:16" ht="18.75" hidden="1" x14ac:dyDescent="0.25">
      <c r="A217" s="417"/>
      <c r="B217" s="419"/>
      <c r="C217" s="419"/>
      <c r="D217" s="293" t="s">
        <v>82</v>
      </c>
      <c r="E217" s="418"/>
      <c r="F217" s="418"/>
      <c r="G217" s="422"/>
      <c r="H217" s="548" t="s">
        <v>12</v>
      </c>
      <c r="I217" s="427"/>
      <c r="J217" s="427"/>
      <c r="K217" s="428"/>
      <c r="L217" s="425">
        <f ca="1">IFERROR(__xludf.DUMMYFUNCTION("IMPORTRANGE(""https://docs.google.com/spreadsheets/d/1eHaY18a8A9IcSdp1K8H6x8fbOy06t2VsZHhMHf-1x7Y/edit?usp=sharing"",""แผน!AO88"")"),0)</f>
        <v>0</v>
      </c>
      <c r="M217" s="428"/>
      <c r="N217" s="683">
        <v>0</v>
      </c>
      <c r="O217" s="527"/>
      <c r="P217" s="428"/>
    </row>
    <row r="218" spans="1:16" ht="19.5" hidden="1" x14ac:dyDescent="0.3">
      <c r="A218" s="531"/>
      <c r="B218" s="430"/>
      <c r="C218" s="682" t="s">
        <v>16</v>
      </c>
      <c r="D218" s="536" t="s">
        <v>36</v>
      </c>
      <c r="E218" s="535"/>
      <c r="F218" s="535"/>
      <c r="G218" s="534"/>
      <c r="H218" s="530"/>
      <c r="I218" s="541"/>
      <c r="J218" s="427"/>
      <c r="K218" s="428"/>
      <c r="L218" s="428"/>
      <c r="M218" s="428"/>
      <c r="N218" s="428"/>
      <c r="O218" s="527"/>
      <c r="P218" s="527"/>
    </row>
    <row r="219" spans="1:16" ht="18.75" hidden="1" x14ac:dyDescent="0.25">
      <c r="A219" s="531"/>
      <c r="B219" s="430"/>
      <c r="C219" s="430"/>
      <c r="D219" s="532" t="s">
        <v>90</v>
      </c>
      <c r="E219" s="420"/>
      <c r="F219" s="420"/>
      <c r="G219" s="530"/>
      <c r="H219" s="687" t="s">
        <v>79</v>
      </c>
      <c r="I219" s="424">
        <f ca="1">IFERROR(__xludf.DUMMYFUNCTION("IMPORTRANGE(""https://docs.google.com/spreadsheets/d/1eHaY18a8A9IcSdp1K8H6x8fbOy06t2VsZHhMHf-1x7Y/edit?usp=sharing"",""แผน!AP88"")"),0)</f>
        <v>0</v>
      </c>
      <c r="J219" s="568">
        <v>0</v>
      </c>
      <c r="K219" s="425">
        <f ca="1">IF(I219&gt;0,J219*100/I219,0)</f>
        <v>0</v>
      </c>
      <c r="L219" s="428"/>
      <c r="M219" s="428"/>
      <c r="N219" s="428"/>
      <c r="O219" s="428"/>
      <c r="P219" s="428"/>
    </row>
    <row r="220" spans="1:16" ht="18.75" hidden="1" x14ac:dyDescent="0.25">
      <c r="A220" s="531"/>
      <c r="B220" s="430"/>
      <c r="C220" s="430"/>
      <c r="D220" s="532" t="s">
        <v>91</v>
      </c>
      <c r="E220" s="420"/>
      <c r="F220" s="420"/>
      <c r="G220" s="530"/>
      <c r="H220" s="687" t="s">
        <v>79</v>
      </c>
      <c r="I220" s="424">
        <f ca="1">IFERROR(__xludf.DUMMYFUNCTION("IMPORTRANGE(""https://docs.google.com/spreadsheets/d/1eHaY18a8A9IcSdp1K8H6x8fbOy06t2VsZHhMHf-1x7Y/edit?usp=sharing"",""แผน!AP88"")"),0)</f>
        <v>0</v>
      </c>
      <c r="J220" s="568">
        <v>0</v>
      </c>
      <c r="K220" s="425">
        <f ca="1">IF(I220&gt;0,J220*100/I220,0)</f>
        <v>0</v>
      </c>
      <c r="L220" s="428"/>
      <c r="M220" s="428"/>
      <c r="N220" s="428"/>
      <c r="O220" s="428"/>
      <c r="P220" s="428"/>
    </row>
    <row r="221" spans="1:16" ht="19.5" x14ac:dyDescent="0.3">
      <c r="A221" s="432"/>
      <c r="B221" s="434"/>
      <c r="C221" s="686" t="s">
        <v>92</v>
      </c>
      <c r="D221" s="433"/>
      <c r="E221" s="433"/>
      <c r="F221" s="433"/>
      <c r="G221" s="436"/>
      <c r="H221" s="437" t="s">
        <v>93</v>
      </c>
      <c r="I221" s="438">
        <f ca="1">I229</f>
        <v>10000</v>
      </c>
      <c r="J221" s="438">
        <f>J229</f>
        <v>0</v>
      </c>
      <c r="K221" s="439">
        <f ca="1">IF(I221&gt;0,J221*100/I221,0)</f>
        <v>0</v>
      </c>
      <c r="L221" s="538"/>
      <c r="M221" s="538"/>
      <c r="N221" s="538"/>
      <c r="O221" s="538"/>
      <c r="P221" s="538"/>
    </row>
    <row r="222" spans="1:16" ht="19.5" x14ac:dyDescent="0.3">
      <c r="A222" s="543"/>
      <c r="B222" s="418"/>
      <c r="C222" s="537" t="s">
        <v>16</v>
      </c>
      <c r="D222" s="685" t="s">
        <v>17</v>
      </c>
      <c r="E222" s="418"/>
      <c r="F222" s="418"/>
      <c r="G222" s="422"/>
      <c r="H222" s="684" t="s">
        <v>12</v>
      </c>
      <c r="I222" s="541"/>
      <c r="J222" s="541"/>
      <c r="K222" s="527"/>
      <c r="L222" s="550">
        <f ca="1">L223+L224+L225</f>
        <v>4500</v>
      </c>
      <c r="M222" s="428"/>
      <c r="N222" s="550">
        <f>N223+N224+N225</f>
        <v>0</v>
      </c>
      <c r="O222" s="550">
        <f ca="1">IF(L222&gt;0,N222*100/L222,0)</f>
        <v>0</v>
      </c>
      <c r="P222" s="550">
        <f>IF(M222&gt;0,N222*100/M222,0)</f>
        <v>0</v>
      </c>
    </row>
    <row r="223" spans="1:16" ht="18.75" x14ac:dyDescent="0.25">
      <c r="A223" s="543"/>
      <c r="B223" s="419"/>
      <c r="C223" s="418"/>
      <c r="D223" s="292" t="s">
        <v>156</v>
      </c>
      <c r="E223" s="418"/>
      <c r="F223" s="418"/>
      <c r="G223" s="422"/>
      <c r="H223" s="548" t="s">
        <v>12</v>
      </c>
      <c r="I223" s="541"/>
      <c r="J223" s="541"/>
      <c r="K223" s="527"/>
      <c r="L223" s="425">
        <f ca="1">IFERROR(__xludf.DUMMYFUNCTION("IMPORTRANGE(""https://docs.google.com/spreadsheets/d/1eHaY18a8A9IcSdp1K8H6x8fbOy06t2VsZHhMHf-1x7Y/edit?usp=sharing"",""แผน!AR88"")"),3000)</f>
        <v>3000</v>
      </c>
      <c r="M223" s="428"/>
      <c r="N223" s="683">
        <v>0</v>
      </c>
      <c r="O223" s="527"/>
      <c r="P223" s="428"/>
    </row>
    <row r="224" spans="1:16" ht="18.75" x14ac:dyDescent="0.25">
      <c r="A224" s="417"/>
      <c r="B224" s="419"/>
      <c r="C224" s="419"/>
      <c r="D224" s="293" t="s">
        <v>155</v>
      </c>
      <c r="E224" s="418"/>
      <c r="F224" s="418"/>
      <c r="G224" s="422"/>
      <c r="H224" s="548" t="s">
        <v>12</v>
      </c>
      <c r="I224" s="427"/>
      <c r="J224" s="427"/>
      <c r="K224" s="428"/>
      <c r="L224" s="425">
        <f ca="1">IFERROR(__xludf.DUMMYFUNCTION("IMPORTRANGE(""https://docs.google.com/spreadsheets/d/1eHaY18a8A9IcSdp1K8H6x8fbOy06t2VsZHhMHf-1x7Y/edit?usp=sharing"",""แผน!AS88"")"),1500)</f>
        <v>1500</v>
      </c>
      <c r="M224" s="428"/>
      <c r="N224" s="683">
        <v>0</v>
      </c>
      <c r="O224" s="527"/>
      <c r="P224" s="428"/>
    </row>
    <row r="225" spans="1:16" ht="18.75" x14ac:dyDescent="0.25">
      <c r="A225" s="417"/>
      <c r="B225" s="419"/>
      <c r="C225" s="419"/>
      <c r="D225" s="293" t="s">
        <v>82</v>
      </c>
      <c r="E225" s="418"/>
      <c r="F225" s="418"/>
      <c r="G225" s="422"/>
      <c r="H225" s="548" t="s">
        <v>12</v>
      </c>
      <c r="I225" s="427"/>
      <c r="J225" s="427"/>
      <c r="K225" s="428"/>
      <c r="L225" s="425">
        <f ca="1">IFERROR(__xludf.DUMMYFUNCTION("IMPORTRANGE(""https://docs.google.com/spreadsheets/d/1eHaY18a8A9IcSdp1K8H6x8fbOy06t2VsZHhMHf-1x7Y/edit?usp=sharing"",""แผน!AT88"")"),0)</f>
        <v>0</v>
      </c>
      <c r="M225" s="428"/>
      <c r="N225" s="683">
        <v>0</v>
      </c>
      <c r="O225" s="527"/>
      <c r="P225" s="428"/>
    </row>
    <row r="226" spans="1:16" ht="19.5" x14ac:dyDescent="0.3">
      <c r="A226" s="531"/>
      <c r="B226" s="430"/>
      <c r="C226" s="682" t="s">
        <v>16</v>
      </c>
      <c r="D226" s="536" t="s">
        <v>36</v>
      </c>
      <c r="E226" s="535"/>
      <c r="F226" s="535"/>
      <c r="G226" s="534"/>
      <c r="H226" s="530"/>
      <c r="I226" s="541"/>
      <c r="J226" s="541"/>
      <c r="K226" s="527"/>
      <c r="L226" s="527"/>
      <c r="M226" s="527"/>
      <c r="N226" s="527"/>
      <c r="O226" s="527"/>
      <c r="P226" s="527"/>
    </row>
    <row r="227" spans="1:16" ht="18.75" x14ac:dyDescent="0.25">
      <c r="A227" s="531"/>
      <c r="B227" s="430"/>
      <c r="C227" s="430"/>
      <c r="D227" s="293" t="s">
        <v>95</v>
      </c>
      <c r="E227" s="420"/>
      <c r="F227" s="420"/>
      <c r="G227" s="530"/>
      <c r="H227" s="530"/>
      <c r="I227" s="427"/>
      <c r="J227" s="427"/>
      <c r="K227" s="527"/>
      <c r="L227" s="527"/>
      <c r="M227" s="527"/>
      <c r="N227" s="527"/>
      <c r="O227" s="527"/>
      <c r="P227" s="527"/>
    </row>
    <row r="228" spans="1:16" ht="18.75" x14ac:dyDescent="0.25">
      <c r="A228" s="531"/>
      <c r="B228" s="430"/>
      <c r="C228" s="430"/>
      <c r="D228" s="430"/>
      <c r="E228" s="532" t="s">
        <v>96</v>
      </c>
      <c r="F228" s="420"/>
      <c r="G228" s="530"/>
      <c r="H228" s="529" t="s">
        <v>93</v>
      </c>
      <c r="I228" s="424">
        <f ca="1">IFERROR(__xludf.DUMMYFUNCTION("IMPORTRANGE(""https://docs.google.com/spreadsheets/d/1eHaY18a8A9IcSdp1K8H6x8fbOy06t2VsZHhMHf-1x7Y/edit?usp=sharing"",""แผน!AV88"")"),10000)</f>
        <v>10000</v>
      </c>
      <c r="J228" s="568">
        <v>0</v>
      </c>
      <c r="K228" s="594">
        <f ca="1">IF(I228&gt;0,J228*100/I228,0)</f>
        <v>0</v>
      </c>
      <c r="L228" s="527"/>
      <c r="M228" s="527"/>
      <c r="N228" s="527"/>
      <c r="O228" s="527"/>
      <c r="P228" s="527"/>
    </row>
    <row r="229" spans="1:16" ht="18.75" x14ac:dyDescent="0.25">
      <c r="A229" s="531"/>
      <c r="B229" s="430"/>
      <c r="C229" s="430"/>
      <c r="D229" s="430"/>
      <c r="E229" s="532" t="s">
        <v>97</v>
      </c>
      <c r="F229" s="420"/>
      <c r="G229" s="530"/>
      <c r="H229" s="529" t="s">
        <v>93</v>
      </c>
      <c r="I229" s="424">
        <f ca="1">IFERROR(__xludf.DUMMYFUNCTION("IMPORTRANGE(""https://docs.google.com/spreadsheets/d/1eHaY18a8A9IcSdp1K8H6x8fbOy06t2VsZHhMHf-1x7Y/edit?usp=sharing"",""แผน!AV88"")"),10000)</f>
        <v>10000</v>
      </c>
      <c r="J229" s="568">
        <v>0</v>
      </c>
      <c r="K229" s="594">
        <f ca="1">IF(I229&gt;0,J229*100/I229,0)</f>
        <v>0</v>
      </c>
      <c r="L229" s="428"/>
      <c r="M229" s="428"/>
      <c r="N229" s="428"/>
      <c r="O229" s="428"/>
      <c r="P229" s="428"/>
    </row>
    <row r="230" spans="1:16" ht="18.75" x14ac:dyDescent="0.25">
      <c r="A230" s="531"/>
      <c r="B230" s="430"/>
      <c r="C230" s="430"/>
      <c r="D230" s="293" t="s">
        <v>98</v>
      </c>
      <c r="E230" s="420"/>
      <c r="F230" s="420"/>
      <c r="G230" s="530"/>
      <c r="H230" s="529" t="s">
        <v>33</v>
      </c>
      <c r="I230" s="424">
        <f ca="1">IFERROR(__xludf.DUMMYFUNCTION("IMPORTRANGE(""https://docs.google.com/spreadsheets/d/1eHaY18a8A9IcSdp1K8H6x8fbOy06t2VsZHhMHf-1x7Y/edit?usp=sharing"",""แผน!AU88"")"),0)</f>
        <v>0</v>
      </c>
      <c r="J230" s="568">
        <v>0</v>
      </c>
      <c r="K230" s="594">
        <f ca="1">IF(I230&gt;0,J230*100/I230,0)</f>
        <v>0</v>
      </c>
      <c r="L230" s="428"/>
      <c r="M230" s="428"/>
      <c r="N230" s="428"/>
      <c r="O230" s="428"/>
      <c r="P230" s="428"/>
    </row>
    <row r="231" spans="1:16" ht="19.5" hidden="1" x14ac:dyDescent="0.3">
      <c r="A231" s="432"/>
      <c r="B231" s="434"/>
      <c r="C231" s="686" t="s">
        <v>99</v>
      </c>
      <c r="D231" s="433"/>
      <c r="E231" s="433"/>
      <c r="F231" s="433"/>
      <c r="G231" s="436"/>
      <c r="H231" s="437" t="s">
        <v>33</v>
      </c>
      <c r="I231" s="438">
        <f ca="1">I242+I253</f>
        <v>0</v>
      </c>
      <c r="J231" s="438">
        <f>J242+J253</f>
        <v>0</v>
      </c>
      <c r="K231" s="439">
        <f ca="1">IF(I231&gt;0,J231*100/I231,0)</f>
        <v>0</v>
      </c>
      <c r="L231" s="538"/>
      <c r="M231" s="538"/>
      <c r="N231" s="538"/>
      <c r="O231" s="538"/>
      <c r="P231" s="538"/>
    </row>
    <row r="232" spans="1:16" ht="19.5" hidden="1" x14ac:dyDescent="0.3">
      <c r="A232" s="543"/>
      <c r="B232" s="418"/>
      <c r="C232" s="537" t="s">
        <v>16</v>
      </c>
      <c r="D232" s="552" t="s">
        <v>17</v>
      </c>
      <c r="E232" s="418"/>
      <c r="F232" s="418"/>
      <c r="G232" s="422"/>
      <c r="H232" s="684" t="s">
        <v>12</v>
      </c>
      <c r="I232" s="541"/>
      <c r="J232" s="541"/>
      <c r="K232" s="527"/>
      <c r="L232" s="550">
        <f ca="1">L243+L254</f>
        <v>0</v>
      </c>
      <c r="M232" s="428"/>
      <c r="N232" s="550">
        <f>N243+N254</f>
        <v>0</v>
      </c>
      <c r="O232" s="428"/>
      <c r="P232" s="428"/>
    </row>
    <row r="233" spans="1:16" ht="18.75" hidden="1" x14ac:dyDescent="0.25">
      <c r="A233" s="543"/>
      <c r="B233" s="419"/>
      <c r="C233" s="418"/>
      <c r="D233" s="293" t="s">
        <v>80</v>
      </c>
      <c r="E233" s="418"/>
      <c r="F233" s="418"/>
      <c r="G233" s="422"/>
      <c r="H233" s="548" t="s">
        <v>12</v>
      </c>
      <c r="I233" s="541"/>
      <c r="J233" s="541"/>
      <c r="K233" s="527"/>
      <c r="L233" s="425">
        <f ca="1">L244+L255</f>
        <v>0</v>
      </c>
      <c r="M233" s="428"/>
      <c r="N233" s="425">
        <f>N244+N255</f>
        <v>0</v>
      </c>
      <c r="O233" s="428"/>
      <c r="P233" s="428"/>
    </row>
    <row r="234" spans="1:16" ht="18.75" hidden="1" x14ac:dyDescent="0.25">
      <c r="A234" s="417"/>
      <c r="B234" s="419"/>
      <c r="C234" s="419"/>
      <c r="D234" s="293" t="s">
        <v>82</v>
      </c>
      <c r="E234" s="418"/>
      <c r="F234" s="418"/>
      <c r="G234" s="422"/>
      <c r="H234" s="548" t="s">
        <v>12</v>
      </c>
      <c r="I234" s="427"/>
      <c r="J234" s="427"/>
      <c r="K234" s="428"/>
      <c r="L234" s="425">
        <f ca="1">L245+L256</f>
        <v>0</v>
      </c>
      <c r="M234" s="428"/>
      <c r="N234" s="425">
        <f>N245+N256</f>
        <v>0</v>
      </c>
      <c r="O234" s="428"/>
      <c r="P234" s="428"/>
    </row>
    <row r="235" spans="1:16" ht="18.75" hidden="1" x14ac:dyDescent="0.25">
      <c r="A235" s="417"/>
      <c r="B235" s="419"/>
      <c r="C235" s="419"/>
      <c r="D235" s="293" t="s">
        <v>100</v>
      </c>
      <c r="E235" s="418"/>
      <c r="F235" s="418"/>
      <c r="G235" s="422"/>
      <c r="H235" s="548" t="s">
        <v>12</v>
      </c>
      <c r="I235" s="427"/>
      <c r="J235" s="427"/>
      <c r="K235" s="428"/>
      <c r="L235" s="425">
        <f ca="1">L246+L257</f>
        <v>0</v>
      </c>
      <c r="M235" s="428"/>
      <c r="N235" s="425">
        <f>N246+N257</f>
        <v>0</v>
      </c>
      <c r="O235" s="428"/>
      <c r="P235" s="428"/>
    </row>
    <row r="236" spans="1:16" ht="18.75" hidden="1" x14ac:dyDescent="0.25">
      <c r="A236" s="417"/>
      <c r="B236" s="419"/>
      <c r="C236" s="419"/>
      <c r="D236" s="293" t="s">
        <v>101</v>
      </c>
      <c r="E236" s="418"/>
      <c r="F236" s="418"/>
      <c r="G236" s="422"/>
      <c r="H236" s="548" t="s">
        <v>12</v>
      </c>
      <c r="I236" s="427"/>
      <c r="J236" s="427"/>
      <c r="K236" s="428"/>
      <c r="L236" s="425">
        <f ca="1">L247+L258</f>
        <v>0</v>
      </c>
      <c r="M236" s="428"/>
      <c r="N236" s="425">
        <f>N247+N258</f>
        <v>0</v>
      </c>
      <c r="O236" s="428"/>
      <c r="P236" s="428"/>
    </row>
    <row r="237" spans="1:16" ht="19.5" hidden="1" x14ac:dyDescent="0.3">
      <c r="A237" s="531"/>
      <c r="B237" s="430"/>
      <c r="C237" s="682" t="s">
        <v>16</v>
      </c>
      <c r="D237" s="536" t="s">
        <v>36</v>
      </c>
      <c r="E237" s="535"/>
      <c r="F237" s="535"/>
      <c r="G237" s="534"/>
      <c r="H237" s="530"/>
      <c r="I237" s="541"/>
      <c r="J237" s="427"/>
      <c r="K237" s="428"/>
      <c r="L237" s="428"/>
      <c r="M237" s="428"/>
      <c r="N237" s="428"/>
      <c r="O237" s="527"/>
      <c r="P237" s="527"/>
    </row>
    <row r="238" spans="1:16" ht="18.75" hidden="1" x14ac:dyDescent="0.25">
      <c r="A238" s="531"/>
      <c r="B238" s="430"/>
      <c r="C238" s="430"/>
      <c r="D238" s="421" t="s">
        <v>102</v>
      </c>
      <c r="E238" s="420"/>
      <c r="F238" s="420"/>
      <c r="G238" s="530"/>
      <c r="H238" s="529" t="s">
        <v>33</v>
      </c>
      <c r="I238" s="424">
        <f ca="1">I249+I260</f>
        <v>0</v>
      </c>
      <c r="J238" s="424">
        <f>J249+J260</f>
        <v>0</v>
      </c>
      <c r="K238" s="425">
        <f ca="1">IF(I238&gt;0,J238*100/I238,0)</f>
        <v>0</v>
      </c>
      <c r="L238" s="428"/>
      <c r="M238" s="428"/>
      <c r="N238" s="428"/>
      <c r="O238" s="428"/>
      <c r="P238" s="428"/>
    </row>
    <row r="239" spans="1:16" ht="18.75" hidden="1" x14ac:dyDescent="0.25">
      <c r="A239" s="531"/>
      <c r="B239" s="430"/>
      <c r="C239" s="430"/>
      <c r="D239" s="892" t="s">
        <v>41</v>
      </c>
      <c r="E239" s="420"/>
      <c r="F239" s="420"/>
      <c r="G239" s="530"/>
      <c r="H239" s="530"/>
      <c r="I239" s="427"/>
      <c r="J239" s="427"/>
      <c r="K239" s="428"/>
      <c r="L239" s="428"/>
      <c r="M239" s="428"/>
      <c r="N239" s="428"/>
      <c r="O239" s="527"/>
      <c r="P239" s="527"/>
    </row>
    <row r="240" spans="1:16" ht="18.75" hidden="1" x14ac:dyDescent="0.25">
      <c r="A240" s="531"/>
      <c r="B240" s="430"/>
      <c r="C240" s="430"/>
      <c r="D240" s="430"/>
      <c r="E240" s="532" t="s">
        <v>103</v>
      </c>
      <c r="F240" s="420"/>
      <c r="G240" s="530"/>
      <c r="H240" s="529" t="s">
        <v>33</v>
      </c>
      <c r="I240" s="424">
        <f>I251+I262</f>
        <v>0</v>
      </c>
      <c r="J240" s="424">
        <f>J251+J262</f>
        <v>0</v>
      </c>
      <c r="K240" s="425">
        <f>IF(I240&gt;0,J240*100/I240,0)</f>
        <v>0</v>
      </c>
      <c r="L240" s="428"/>
      <c r="M240" s="428"/>
      <c r="N240" s="428"/>
      <c r="O240" s="428"/>
      <c r="P240" s="428"/>
    </row>
    <row r="241" spans="1:16" ht="18.75" hidden="1" x14ac:dyDescent="0.25">
      <c r="A241" s="531"/>
      <c r="B241" s="430"/>
      <c r="C241" s="430"/>
      <c r="D241" s="430"/>
      <c r="E241" s="532" t="s">
        <v>104</v>
      </c>
      <c r="F241" s="420"/>
      <c r="G241" s="530"/>
      <c r="H241" s="529" t="s">
        <v>54</v>
      </c>
      <c r="I241" s="424">
        <f>I252+I263</f>
        <v>0</v>
      </c>
      <c r="J241" s="424">
        <f>J252+J263</f>
        <v>0</v>
      </c>
      <c r="K241" s="425">
        <f>IF(I241&gt;0,J241*100/I241,0)</f>
        <v>0</v>
      </c>
      <c r="L241" s="428"/>
      <c r="M241" s="428"/>
      <c r="N241" s="428"/>
      <c r="O241" s="428"/>
      <c r="P241" s="428"/>
    </row>
    <row r="242" spans="1:16" ht="19.5" hidden="1" x14ac:dyDescent="0.3">
      <c r="A242" s="432"/>
      <c r="B242" s="434"/>
      <c r="C242" s="662" t="s">
        <v>105</v>
      </c>
      <c r="D242" s="433"/>
      <c r="E242" s="433"/>
      <c r="F242" s="433"/>
      <c r="G242" s="436"/>
      <c r="H242" s="661" t="s">
        <v>33</v>
      </c>
      <c r="I242" s="660">
        <f ca="1">I249</f>
        <v>0</v>
      </c>
      <c r="J242" s="660">
        <f>J249</f>
        <v>0</v>
      </c>
      <c r="K242" s="659">
        <f ca="1">IF(I242&gt;0,J242*100/I242,0)</f>
        <v>0</v>
      </c>
      <c r="L242" s="538"/>
      <c r="M242" s="538"/>
      <c r="N242" s="538"/>
      <c r="O242" s="538"/>
      <c r="P242" s="538"/>
    </row>
    <row r="243" spans="1:16" ht="19.5" hidden="1" x14ac:dyDescent="0.3">
      <c r="A243" s="543"/>
      <c r="B243" s="418"/>
      <c r="C243" s="636" t="s">
        <v>16</v>
      </c>
      <c r="D243" s="635" t="s">
        <v>17</v>
      </c>
      <c r="E243" s="418"/>
      <c r="F243" s="418"/>
      <c r="G243" s="422"/>
      <c r="H243" s="657" t="s">
        <v>12</v>
      </c>
      <c r="I243" s="541"/>
      <c r="J243" s="541"/>
      <c r="K243" s="527"/>
      <c r="L243" s="633">
        <f ca="1">L244+L245+L246+L247</f>
        <v>0</v>
      </c>
      <c r="M243" s="428"/>
      <c r="N243" s="633">
        <f>N244+N245+N246+N247</f>
        <v>0</v>
      </c>
      <c r="O243" s="633">
        <f ca="1">IF(L243&gt;0,N243*100/L243,0)</f>
        <v>0</v>
      </c>
      <c r="P243" s="633">
        <f>IF(M243&gt;0,N243*100/M243,0)</f>
        <v>0</v>
      </c>
    </row>
    <row r="244" spans="1:16" ht="18.75" hidden="1" x14ac:dyDescent="0.25">
      <c r="A244" s="543"/>
      <c r="B244" s="419"/>
      <c r="C244" s="418"/>
      <c r="D244" s="546" t="s">
        <v>80</v>
      </c>
      <c r="E244" s="418"/>
      <c r="F244" s="418"/>
      <c r="G244" s="422"/>
      <c r="H244" s="545" t="s">
        <v>12</v>
      </c>
      <c r="I244" s="541"/>
      <c r="J244" s="541"/>
      <c r="K244" s="527"/>
      <c r="L244" s="544">
        <f ca="1">IFERROR(__xludf.DUMMYFUNCTION("IMPORTRANGE(""https://docs.google.com/spreadsheets/d/1eHaY18a8A9IcSdp1K8H6x8fbOy06t2VsZHhMHf-1x7Y/edit?usp=sharing"",""แผน!AX88"")"),0)</f>
        <v>0</v>
      </c>
      <c r="M244" s="428"/>
      <c r="N244" s="656">
        <v>0</v>
      </c>
      <c r="O244" s="428"/>
      <c r="P244" s="428"/>
    </row>
    <row r="245" spans="1:16" ht="18.75" hidden="1" x14ac:dyDescent="0.25">
      <c r="A245" s="417"/>
      <c r="B245" s="419"/>
      <c r="C245" s="419"/>
      <c r="D245" s="546" t="s">
        <v>82</v>
      </c>
      <c r="E245" s="418"/>
      <c r="F245" s="418"/>
      <c r="G245" s="422"/>
      <c r="H245" s="545" t="s">
        <v>12</v>
      </c>
      <c r="I245" s="427"/>
      <c r="J245" s="427"/>
      <c r="K245" s="428"/>
      <c r="L245" s="544">
        <f ca="1">IFERROR(__xludf.DUMMYFUNCTION("IMPORTRANGE(""https://docs.google.com/spreadsheets/d/1eHaY18a8A9IcSdp1K8H6x8fbOy06t2VsZHhMHf-1x7Y/edit?usp=sharing"",""แผน!AY88"")"),0)</f>
        <v>0</v>
      </c>
      <c r="M245" s="428"/>
      <c r="N245" s="656">
        <v>0</v>
      </c>
      <c r="O245" s="428"/>
      <c r="P245" s="428"/>
    </row>
    <row r="246" spans="1:16" ht="18.75" hidden="1" x14ac:dyDescent="0.25">
      <c r="A246" s="417"/>
      <c r="B246" s="419"/>
      <c r="C246" s="419"/>
      <c r="D246" s="546" t="s">
        <v>100</v>
      </c>
      <c r="E246" s="418"/>
      <c r="F246" s="418"/>
      <c r="G246" s="422"/>
      <c r="H246" s="545" t="s">
        <v>12</v>
      </c>
      <c r="I246" s="427"/>
      <c r="J246" s="427"/>
      <c r="K246" s="428"/>
      <c r="L246" s="544">
        <f ca="1">IFERROR(__xludf.DUMMYFUNCTION("IMPORTRANGE(""https://docs.google.com/spreadsheets/d/1eHaY18a8A9IcSdp1K8H6x8fbOy06t2VsZHhMHf-1x7Y/edit?usp=sharing"",""แผน!AZ88"")"),0)</f>
        <v>0</v>
      </c>
      <c r="M246" s="428"/>
      <c r="N246" s="656">
        <v>0</v>
      </c>
      <c r="O246" s="428"/>
      <c r="P246" s="428"/>
    </row>
    <row r="247" spans="1:16" ht="18.75" hidden="1" x14ac:dyDescent="0.25">
      <c r="A247" s="417"/>
      <c r="B247" s="419"/>
      <c r="C247" s="419"/>
      <c r="D247" s="546" t="s">
        <v>101</v>
      </c>
      <c r="E247" s="418"/>
      <c r="F247" s="418"/>
      <c r="G247" s="422"/>
      <c r="H247" s="545" t="s">
        <v>12</v>
      </c>
      <c r="I247" s="427"/>
      <c r="J247" s="427"/>
      <c r="K247" s="428"/>
      <c r="L247" s="544">
        <f ca="1">IFERROR(__xludf.DUMMYFUNCTION("IMPORTRANGE(""https://docs.google.com/spreadsheets/d/1eHaY18a8A9IcSdp1K8H6x8fbOy06t2VsZHhMHf-1x7Y/edit?usp=sharing"",""แผน!BA88"")"),0)</f>
        <v>0</v>
      </c>
      <c r="M247" s="428"/>
      <c r="N247" s="656">
        <v>0</v>
      </c>
      <c r="O247" s="428"/>
      <c r="P247" s="428"/>
    </row>
    <row r="248" spans="1:16" ht="19.5" hidden="1" x14ac:dyDescent="0.3">
      <c r="A248" s="531"/>
      <c r="B248" s="430"/>
      <c r="C248" s="655" t="s">
        <v>16</v>
      </c>
      <c r="D248" s="630" t="s">
        <v>36</v>
      </c>
      <c r="E248" s="535"/>
      <c r="F248" s="535"/>
      <c r="G248" s="534"/>
      <c r="H248" s="530"/>
      <c r="I248" s="541"/>
      <c r="J248" s="427"/>
      <c r="K248" s="428"/>
      <c r="L248" s="428"/>
      <c r="M248" s="428"/>
      <c r="N248" s="428"/>
      <c r="O248" s="527"/>
      <c r="P248" s="527"/>
    </row>
    <row r="249" spans="1:16" ht="18.75" hidden="1" x14ac:dyDescent="0.25">
      <c r="A249" s="531"/>
      <c r="B249" s="430"/>
      <c r="C249" s="430"/>
      <c r="D249" s="654" t="s">
        <v>102</v>
      </c>
      <c r="E249" s="420"/>
      <c r="F249" s="420"/>
      <c r="G249" s="530"/>
      <c r="H249" s="651" t="s">
        <v>33</v>
      </c>
      <c r="I249" s="199">
        <f ca="1">IFERROR(__xludf.DUMMYFUNCTION("IMPORTRANGE(""https://docs.google.com/spreadsheets/d/1eHaY18a8A9IcSdp1K8H6x8fbOy06t2VsZHhMHf-1x7Y/edit?usp=sharing"",""แผน!BG88"")"),0)</f>
        <v>0</v>
      </c>
      <c r="J249" s="650">
        <v>0</v>
      </c>
      <c r="K249" s="544">
        <f ca="1">IF(I249&gt;0,J249*100/I249,0)</f>
        <v>0</v>
      </c>
      <c r="L249" s="428"/>
      <c r="M249" s="428"/>
      <c r="N249" s="428"/>
      <c r="O249" s="428"/>
      <c r="P249" s="428"/>
    </row>
    <row r="250" spans="1:16" ht="18.75" hidden="1" x14ac:dyDescent="0.25">
      <c r="A250" s="531"/>
      <c r="B250" s="430"/>
      <c r="C250" s="430"/>
      <c r="D250" s="653" t="s">
        <v>41</v>
      </c>
      <c r="E250" s="420"/>
      <c r="F250" s="420"/>
      <c r="G250" s="530"/>
      <c r="H250" s="530"/>
      <c r="I250" s="427"/>
      <c r="J250" s="427"/>
      <c r="K250" s="428"/>
      <c r="L250" s="428"/>
      <c r="M250" s="428"/>
      <c r="N250" s="428"/>
      <c r="O250" s="527"/>
      <c r="P250" s="527"/>
    </row>
    <row r="251" spans="1:16" ht="18.75" hidden="1" x14ac:dyDescent="0.25">
      <c r="A251" s="531"/>
      <c r="B251" s="430"/>
      <c r="C251" s="430"/>
      <c r="D251" s="430"/>
      <c r="E251" s="652" t="s">
        <v>103</v>
      </c>
      <c r="F251" s="420"/>
      <c r="G251" s="530"/>
      <c r="H251" s="651" t="s">
        <v>33</v>
      </c>
      <c r="I251" s="199">
        <v>0</v>
      </c>
      <c r="J251" s="650">
        <v>0</v>
      </c>
      <c r="K251" s="544">
        <f>IF(I251&gt;0,J251*100/I251,0)</f>
        <v>0</v>
      </c>
      <c r="L251" s="428"/>
      <c r="M251" s="428"/>
      <c r="N251" s="428"/>
      <c r="O251" s="428"/>
      <c r="P251" s="428"/>
    </row>
    <row r="252" spans="1:16" ht="18.75" hidden="1" x14ac:dyDescent="0.25">
      <c r="A252" s="531"/>
      <c r="B252" s="430"/>
      <c r="C252" s="430"/>
      <c r="D252" s="430"/>
      <c r="E252" s="652" t="s">
        <v>104</v>
      </c>
      <c r="F252" s="420"/>
      <c r="G252" s="530"/>
      <c r="H252" s="651" t="s">
        <v>54</v>
      </c>
      <c r="I252" s="199">
        <v>0</v>
      </c>
      <c r="J252" s="650">
        <v>0</v>
      </c>
      <c r="K252" s="544">
        <f>IF(I252&gt;0,J252*100/I252,0)</f>
        <v>0</v>
      </c>
      <c r="L252" s="428"/>
      <c r="M252" s="428"/>
      <c r="N252" s="428"/>
      <c r="O252" s="428"/>
      <c r="P252" s="428"/>
    </row>
    <row r="253" spans="1:16" ht="19.5" hidden="1" x14ac:dyDescent="0.3">
      <c r="A253" s="432"/>
      <c r="B253" s="434"/>
      <c r="C253" s="662" t="s">
        <v>106</v>
      </c>
      <c r="D253" s="433"/>
      <c r="E253" s="433"/>
      <c r="F253" s="433"/>
      <c r="G253" s="436"/>
      <c r="H253" s="661" t="s">
        <v>33</v>
      </c>
      <c r="I253" s="660">
        <f ca="1">I260</f>
        <v>0</v>
      </c>
      <c r="J253" s="660">
        <f>J260</f>
        <v>0</v>
      </c>
      <c r="K253" s="659">
        <f ca="1">IF(I253&gt;0,J253*100/I253,0)</f>
        <v>0</v>
      </c>
      <c r="L253" s="538"/>
      <c r="M253" s="538"/>
      <c r="N253" s="538"/>
      <c r="O253" s="538"/>
      <c r="P253" s="538"/>
    </row>
    <row r="254" spans="1:16" ht="19.5" hidden="1" x14ac:dyDescent="0.3">
      <c r="A254" s="543"/>
      <c r="B254" s="418"/>
      <c r="C254" s="636" t="s">
        <v>16</v>
      </c>
      <c r="D254" s="658" t="s">
        <v>17</v>
      </c>
      <c r="E254" s="418"/>
      <c r="F254" s="418"/>
      <c r="G254" s="422"/>
      <c r="H254" s="657" t="s">
        <v>12</v>
      </c>
      <c r="I254" s="541"/>
      <c r="J254" s="541"/>
      <c r="K254" s="527"/>
      <c r="L254" s="633">
        <f ca="1">L255+L256+L257+L258</f>
        <v>0</v>
      </c>
      <c r="M254" s="428"/>
      <c r="N254" s="633">
        <f>N255+N256+N257+N258</f>
        <v>0</v>
      </c>
      <c r="O254" s="633">
        <f ca="1">IF(L254&gt;0,N254*100/L254,0)</f>
        <v>0</v>
      </c>
      <c r="P254" s="633">
        <f>IF(M254&gt;0,N254*100/M254,0)</f>
        <v>0</v>
      </c>
    </row>
    <row r="255" spans="1:16" ht="18.75" hidden="1" x14ac:dyDescent="0.25">
      <c r="A255" s="543"/>
      <c r="B255" s="419"/>
      <c r="C255" s="418"/>
      <c r="D255" s="546" t="s">
        <v>80</v>
      </c>
      <c r="E255" s="418"/>
      <c r="F255" s="418"/>
      <c r="G255" s="422"/>
      <c r="H255" s="545" t="s">
        <v>12</v>
      </c>
      <c r="I255" s="541"/>
      <c r="J255" s="541"/>
      <c r="K255" s="527"/>
      <c r="L255" s="544">
        <f ca="1">IFERROR(__xludf.DUMMYFUNCTION("IMPORTRANGE(""https://docs.google.com/spreadsheets/d/1eHaY18a8A9IcSdp1K8H6x8fbOy06t2VsZHhMHf-1x7Y/edit?usp=sharing"",""แผน!BB88"")"),0)</f>
        <v>0</v>
      </c>
      <c r="M255" s="428"/>
      <c r="N255" s="656">
        <v>0</v>
      </c>
      <c r="O255" s="428"/>
      <c r="P255" s="428"/>
    </row>
    <row r="256" spans="1:16" ht="18.75" hidden="1" x14ac:dyDescent="0.25">
      <c r="A256" s="417"/>
      <c r="B256" s="419"/>
      <c r="C256" s="419"/>
      <c r="D256" s="546" t="s">
        <v>82</v>
      </c>
      <c r="E256" s="418"/>
      <c r="F256" s="418"/>
      <c r="G256" s="422"/>
      <c r="H256" s="545" t="s">
        <v>12</v>
      </c>
      <c r="I256" s="427"/>
      <c r="J256" s="427"/>
      <c r="K256" s="428"/>
      <c r="L256" s="544">
        <f ca="1">IFERROR(__xludf.DUMMYFUNCTION("IMPORTRANGE(""https://docs.google.com/spreadsheets/d/1eHaY18a8A9IcSdp1K8H6x8fbOy06t2VsZHhMHf-1x7Y/edit?usp=sharing"",""แผน!BC88"")"),0)</f>
        <v>0</v>
      </c>
      <c r="M256" s="428"/>
      <c r="N256" s="656">
        <v>0</v>
      </c>
      <c r="O256" s="428"/>
      <c r="P256" s="428"/>
    </row>
    <row r="257" spans="1:16" ht="18.75" hidden="1" x14ac:dyDescent="0.25">
      <c r="A257" s="417"/>
      <c r="B257" s="419"/>
      <c r="C257" s="419"/>
      <c r="D257" s="546" t="s">
        <v>100</v>
      </c>
      <c r="E257" s="418"/>
      <c r="F257" s="418"/>
      <c r="G257" s="422"/>
      <c r="H257" s="545" t="s">
        <v>12</v>
      </c>
      <c r="I257" s="427"/>
      <c r="J257" s="427"/>
      <c r="K257" s="428"/>
      <c r="L257" s="544">
        <f ca="1">IFERROR(__xludf.DUMMYFUNCTION("IMPORTRANGE(""https://docs.google.com/spreadsheets/d/1eHaY18a8A9IcSdp1K8H6x8fbOy06t2VsZHhMHf-1x7Y/edit?usp=sharing"",""แผน!BD88"")"),0)</f>
        <v>0</v>
      </c>
      <c r="M257" s="428"/>
      <c r="N257" s="656">
        <v>0</v>
      </c>
      <c r="O257" s="428"/>
      <c r="P257" s="428"/>
    </row>
    <row r="258" spans="1:16" ht="18.75" hidden="1" x14ac:dyDescent="0.25">
      <c r="A258" s="417"/>
      <c r="B258" s="419"/>
      <c r="C258" s="419"/>
      <c r="D258" s="546" t="s">
        <v>101</v>
      </c>
      <c r="E258" s="418"/>
      <c r="F258" s="418"/>
      <c r="G258" s="422"/>
      <c r="H258" s="545" t="s">
        <v>12</v>
      </c>
      <c r="I258" s="427"/>
      <c r="J258" s="427"/>
      <c r="K258" s="428"/>
      <c r="L258" s="544">
        <f ca="1">IFERROR(__xludf.DUMMYFUNCTION("IMPORTRANGE(""https://docs.google.com/spreadsheets/d/1eHaY18a8A9IcSdp1K8H6x8fbOy06t2VsZHhMHf-1x7Y/edit?usp=sharing"",""แผน!BE88"")"),0)</f>
        <v>0</v>
      </c>
      <c r="M258" s="428"/>
      <c r="N258" s="656">
        <v>0</v>
      </c>
      <c r="O258" s="428"/>
      <c r="P258" s="428"/>
    </row>
    <row r="259" spans="1:16" ht="19.5" hidden="1" x14ac:dyDescent="0.3">
      <c r="A259" s="531"/>
      <c r="B259" s="430"/>
      <c r="C259" s="655" t="s">
        <v>16</v>
      </c>
      <c r="D259" s="630" t="s">
        <v>36</v>
      </c>
      <c r="E259" s="535"/>
      <c r="F259" s="535"/>
      <c r="G259" s="534"/>
      <c r="H259" s="530"/>
      <c r="I259" s="541"/>
      <c r="J259" s="427"/>
      <c r="K259" s="428"/>
      <c r="L259" s="428"/>
      <c r="M259" s="428"/>
      <c r="N259" s="428"/>
      <c r="O259" s="527"/>
      <c r="P259" s="527"/>
    </row>
    <row r="260" spans="1:16" ht="18.75" hidden="1" x14ac:dyDescent="0.25">
      <c r="A260" s="531"/>
      <c r="B260" s="430"/>
      <c r="C260" s="430"/>
      <c r="D260" s="654" t="s">
        <v>102</v>
      </c>
      <c r="E260" s="420"/>
      <c r="F260" s="420"/>
      <c r="G260" s="530"/>
      <c r="H260" s="651" t="s">
        <v>33</v>
      </c>
      <c r="I260" s="199">
        <f ca="1">IFERROR(__xludf.DUMMYFUNCTION("IMPORTRANGE(""https://docs.google.com/spreadsheets/d/1eHaY18a8A9IcSdp1K8H6x8fbOy06t2VsZHhMHf-1x7Y/edit?usp=sharing"",""แผน!BH88"")"),0)</f>
        <v>0</v>
      </c>
      <c r="J260" s="650">
        <v>0</v>
      </c>
      <c r="K260" s="544">
        <f ca="1">IF(I260&gt;0,J260*100/I260,0)</f>
        <v>0</v>
      </c>
      <c r="L260" s="428"/>
      <c r="M260" s="428"/>
      <c r="N260" s="428"/>
      <c r="O260" s="428"/>
      <c r="P260" s="428"/>
    </row>
    <row r="261" spans="1:16" ht="18.75" hidden="1" x14ac:dyDescent="0.25">
      <c r="A261" s="531"/>
      <c r="B261" s="430"/>
      <c r="C261" s="430"/>
      <c r="D261" s="653" t="s">
        <v>41</v>
      </c>
      <c r="E261" s="420"/>
      <c r="F261" s="420"/>
      <c r="G261" s="530"/>
      <c r="H261" s="530"/>
      <c r="I261" s="427"/>
      <c r="J261" s="427"/>
      <c r="K261" s="428"/>
      <c r="L261" s="428"/>
      <c r="M261" s="428"/>
      <c r="N261" s="428"/>
      <c r="O261" s="527"/>
      <c r="P261" s="527"/>
    </row>
    <row r="262" spans="1:16" ht="18.75" hidden="1" x14ac:dyDescent="0.25">
      <c r="A262" s="531"/>
      <c r="B262" s="430"/>
      <c r="C262" s="430"/>
      <c r="D262" s="430"/>
      <c r="E262" s="652" t="s">
        <v>103</v>
      </c>
      <c r="F262" s="420"/>
      <c r="G262" s="530"/>
      <c r="H262" s="651" t="s">
        <v>33</v>
      </c>
      <c r="I262" s="427"/>
      <c r="J262" s="650">
        <v>0</v>
      </c>
      <c r="K262" s="544">
        <f>IF(I262&gt;0,J262*100/I262,0)</f>
        <v>0</v>
      </c>
      <c r="L262" s="428"/>
      <c r="M262" s="428"/>
      <c r="N262" s="428"/>
      <c r="O262" s="428"/>
      <c r="P262" s="428"/>
    </row>
    <row r="263" spans="1:16" ht="18.75" hidden="1" x14ac:dyDescent="0.25">
      <c r="A263" s="531"/>
      <c r="B263" s="430"/>
      <c r="C263" s="430"/>
      <c r="D263" s="430"/>
      <c r="E263" s="652" t="s">
        <v>104</v>
      </c>
      <c r="F263" s="420"/>
      <c r="G263" s="530"/>
      <c r="H263" s="651" t="s">
        <v>54</v>
      </c>
      <c r="I263" s="427"/>
      <c r="J263" s="650">
        <v>0</v>
      </c>
      <c r="K263" s="544">
        <f>IF(I263&gt;0,J263*100/I263,0)</f>
        <v>0</v>
      </c>
      <c r="L263" s="428"/>
      <c r="M263" s="428"/>
      <c r="N263" s="428"/>
      <c r="O263" s="428"/>
      <c r="P263" s="428"/>
    </row>
    <row r="264" spans="1:16" ht="19.5" hidden="1" x14ac:dyDescent="0.3">
      <c r="A264" s="649" t="s">
        <v>107</v>
      </c>
      <c r="B264" s="648"/>
      <c r="C264" s="648"/>
      <c r="D264" s="647"/>
      <c r="E264" s="647"/>
      <c r="F264" s="647"/>
      <c r="G264" s="646"/>
      <c r="H264" s="646"/>
      <c r="I264" s="645"/>
      <c r="J264" s="645"/>
      <c r="K264" s="644"/>
      <c r="L264" s="644"/>
      <c r="M264" s="644"/>
      <c r="N264" s="644"/>
      <c r="O264" s="644"/>
      <c r="P264" s="644"/>
    </row>
    <row r="265" spans="1:16" ht="19.5" hidden="1" x14ac:dyDescent="0.3">
      <c r="A265" s="643"/>
      <c r="B265" s="642" t="s">
        <v>108</v>
      </c>
      <c r="C265" s="641"/>
      <c r="D265" s="535"/>
      <c r="E265" s="535"/>
      <c r="F265" s="535"/>
      <c r="G265" s="534"/>
      <c r="H265" s="640" t="s">
        <v>33</v>
      </c>
      <c r="I265" s="639">
        <f>I276</f>
        <v>0</v>
      </c>
      <c r="J265" s="639">
        <f>J276</f>
        <v>0</v>
      </c>
      <c r="K265" s="638">
        <f>IF(I265&gt;0,J265*100/I265,0)</f>
        <v>0</v>
      </c>
      <c r="L265" s="637"/>
      <c r="M265" s="637"/>
      <c r="N265" s="637"/>
      <c r="O265" s="637"/>
      <c r="P265" s="637"/>
    </row>
    <row r="266" spans="1:16" ht="19.5" hidden="1" x14ac:dyDescent="0.3">
      <c r="A266" s="543"/>
      <c r="B266" s="418"/>
      <c r="C266" s="636" t="s">
        <v>16</v>
      </c>
      <c r="D266" s="635" t="s">
        <v>17</v>
      </c>
      <c r="E266" s="418"/>
      <c r="F266" s="418"/>
      <c r="G266" s="422"/>
      <c r="H266" s="634" t="s">
        <v>12</v>
      </c>
      <c r="I266" s="427"/>
      <c r="J266" s="427"/>
      <c r="K266" s="428"/>
      <c r="L266" s="633">
        <f ca="1">L267+L268</f>
        <v>0</v>
      </c>
      <c r="M266" s="633">
        <f ca="1">M267+M268</f>
        <v>0</v>
      </c>
      <c r="N266" s="633">
        <f ca="1">N267+N268</f>
        <v>0</v>
      </c>
      <c r="O266" s="633">
        <f ca="1">IF(L266&gt;0,N266*100/L266,0)</f>
        <v>0</v>
      </c>
      <c r="P266" s="633">
        <f ca="1">IF(M266&gt;0,N266*100/M266,0)</f>
        <v>0</v>
      </c>
    </row>
    <row r="267" spans="1:16" ht="18.75" hidden="1" x14ac:dyDescent="0.25">
      <c r="A267" s="543"/>
      <c r="B267" s="418"/>
      <c r="C267" s="418"/>
      <c r="D267" s="418"/>
      <c r="E267" s="546" t="s">
        <v>18</v>
      </c>
      <c r="F267" s="418"/>
      <c r="G267" s="422"/>
      <c r="H267" s="549" t="s">
        <v>12</v>
      </c>
      <c r="I267" s="427"/>
      <c r="J267" s="427"/>
      <c r="K267" s="428"/>
      <c r="L267" s="544">
        <f>L270+L273</f>
        <v>0</v>
      </c>
      <c r="M267" s="544">
        <f>M270+M273</f>
        <v>0</v>
      </c>
      <c r="N267" s="544">
        <f>N270+N273</f>
        <v>0</v>
      </c>
      <c r="O267" s="544">
        <f>IF(L267&gt;0,N267*100/L267,0)</f>
        <v>0</v>
      </c>
      <c r="P267" s="544">
        <f>IF(M267&gt;0,N267*100/M267,0)</f>
        <v>0</v>
      </c>
    </row>
    <row r="268" spans="1:16" ht="18.75" hidden="1" x14ac:dyDescent="0.25">
      <c r="A268" s="543"/>
      <c r="B268" s="418"/>
      <c r="C268" s="418"/>
      <c r="D268" s="418"/>
      <c r="E268" s="546" t="s">
        <v>19</v>
      </c>
      <c r="F268" s="418"/>
      <c r="G268" s="422"/>
      <c r="H268" s="549" t="s">
        <v>12</v>
      </c>
      <c r="I268" s="427"/>
      <c r="J268" s="427"/>
      <c r="K268" s="428"/>
      <c r="L268" s="544">
        <f ca="1">L271+L274</f>
        <v>0</v>
      </c>
      <c r="M268" s="544">
        <f ca="1">M271+M274</f>
        <v>0</v>
      </c>
      <c r="N268" s="544">
        <f ca="1">N271+N274</f>
        <v>0</v>
      </c>
      <c r="O268" s="544">
        <f ca="1">IF(L268&gt;0,N268*100/L268,0)</f>
        <v>0</v>
      </c>
      <c r="P268" s="544">
        <f ca="1">IF(M268&gt;0,N268*100/M268,0)</f>
        <v>0</v>
      </c>
    </row>
    <row r="269" spans="1:16" ht="18.75" hidden="1" x14ac:dyDescent="0.25">
      <c r="A269" s="543"/>
      <c r="B269" s="418"/>
      <c r="C269" s="418"/>
      <c r="D269" s="632" t="s">
        <v>20</v>
      </c>
      <c r="E269" s="418"/>
      <c r="F269" s="418"/>
      <c r="G269" s="422"/>
      <c r="H269" s="545" t="s">
        <v>12</v>
      </c>
      <c r="I269" s="541"/>
      <c r="J269" s="541"/>
      <c r="K269" s="527"/>
      <c r="L269" s="544">
        <f ca="1">L270+L271</f>
        <v>0</v>
      </c>
      <c r="M269" s="544">
        <f ca="1">M270+M271</f>
        <v>0</v>
      </c>
      <c r="N269" s="544">
        <f ca="1">N270+N271</f>
        <v>0</v>
      </c>
      <c r="O269" s="544">
        <f ca="1">IF(L269&gt;0,N269*100/L269,0)</f>
        <v>0</v>
      </c>
      <c r="P269" s="544">
        <f ca="1">IF(M269&gt;0,N269*100/M269,0)</f>
        <v>0</v>
      </c>
    </row>
    <row r="270" spans="1:16" ht="18.75" hidden="1" x14ac:dyDescent="0.25">
      <c r="A270" s="543"/>
      <c r="B270" s="418"/>
      <c r="C270" s="418"/>
      <c r="D270" s="418"/>
      <c r="E270" s="546" t="s">
        <v>34</v>
      </c>
      <c r="F270" s="418"/>
      <c r="G270" s="422"/>
      <c r="H270" s="545" t="s">
        <v>12</v>
      </c>
      <c r="I270" s="541"/>
      <c r="J270" s="541"/>
      <c r="K270" s="527"/>
      <c r="L270" s="544">
        <v>0</v>
      </c>
      <c r="M270" s="544">
        <v>0</v>
      </c>
      <c r="N270" s="544">
        <v>0</v>
      </c>
      <c r="O270" s="544">
        <f>IF(L270&gt;0,N270*100/L270,0)</f>
        <v>0</v>
      </c>
      <c r="P270" s="544">
        <f>IF(M270&gt;0,N270*100/M270,0)</f>
        <v>0</v>
      </c>
    </row>
    <row r="271" spans="1:16" ht="18.75" hidden="1" x14ac:dyDescent="0.25">
      <c r="A271" s="543"/>
      <c r="B271" s="418"/>
      <c r="C271" s="418"/>
      <c r="D271" s="418"/>
      <c r="E271" s="546" t="s">
        <v>35</v>
      </c>
      <c r="F271" s="418"/>
      <c r="G271" s="422"/>
      <c r="H271" s="545" t="s">
        <v>12</v>
      </c>
      <c r="I271" s="541"/>
      <c r="J271" s="541"/>
      <c r="K271" s="527"/>
      <c r="L271" s="544">
        <f ca="1">IFERROR(__xludf.DUMMYFUNCTION("IMPORTRANGE(""https://docs.google.com/spreadsheets/d/1-uDff_7J0KD5mKrp0Vvzr7lt3OU09vwQwhkpOPPYv2Y/edit?usp=sharing"",""งบพรบ!DE88"")"),0)</f>
        <v>0</v>
      </c>
      <c r="M271" s="544">
        <f ca="1">IFERROR(__xludf.DUMMYFUNCTION("IMPORTRANGE(""https://docs.google.com/spreadsheets/d/1-uDff_7J0KD5mKrp0Vvzr7lt3OU09vwQwhkpOPPYv2Y/edit?usp=sharing"",""งบพรบ!DJ88"")"),0)</f>
        <v>0</v>
      </c>
      <c r="N271" s="544">
        <f ca="1">IFERROR(__xludf.DUMMYFUNCTION("IMPORTRANGE(""https://docs.google.com/spreadsheets/d/1-uDff_7J0KD5mKrp0Vvzr7lt3OU09vwQwhkpOPPYv2Y/edit?usp=sharing"",""งบพรบ!DL88"")"),0)</f>
        <v>0</v>
      </c>
      <c r="O271" s="544">
        <f ca="1">IF(L271&gt;0,N271*100/L271,0)</f>
        <v>0</v>
      </c>
      <c r="P271" s="544">
        <f ca="1">IF(M271&gt;0,N271*100/M271,0)</f>
        <v>0</v>
      </c>
    </row>
    <row r="272" spans="1:16" ht="18.75" hidden="1" x14ac:dyDescent="0.25">
      <c r="A272" s="543"/>
      <c r="B272" s="418"/>
      <c r="C272" s="418"/>
      <c r="D272" s="632" t="s">
        <v>21</v>
      </c>
      <c r="E272" s="418"/>
      <c r="F272" s="418"/>
      <c r="G272" s="422"/>
      <c r="H272" s="631" t="s">
        <v>12</v>
      </c>
      <c r="I272" s="541"/>
      <c r="J272" s="541"/>
      <c r="K272" s="527"/>
      <c r="L272" s="544">
        <f ca="1">L273+L274</f>
        <v>0</v>
      </c>
      <c r="M272" s="544">
        <f ca="1">M273+M274</f>
        <v>0</v>
      </c>
      <c r="N272" s="544">
        <f ca="1">N273+N274</f>
        <v>0</v>
      </c>
      <c r="O272" s="544">
        <f ca="1">IF(L272&gt;0,N272*100/L272,0)</f>
        <v>0</v>
      </c>
      <c r="P272" s="544">
        <f ca="1">IF(M272&gt;0,N272*100/M272,0)</f>
        <v>0</v>
      </c>
    </row>
    <row r="273" spans="1:16" ht="18.75" hidden="1" x14ac:dyDescent="0.25">
      <c r="A273" s="543"/>
      <c r="B273" s="418"/>
      <c r="C273" s="418"/>
      <c r="D273" s="418"/>
      <c r="E273" s="546" t="s">
        <v>18</v>
      </c>
      <c r="F273" s="418"/>
      <c r="G273" s="422"/>
      <c r="H273" s="545" t="s">
        <v>12</v>
      </c>
      <c r="I273" s="541"/>
      <c r="J273" s="541"/>
      <c r="K273" s="527"/>
      <c r="L273" s="544">
        <v>0</v>
      </c>
      <c r="M273" s="544">
        <v>0</v>
      </c>
      <c r="N273" s="544">
        <v>0</v>
      </c>
      <c r="O273" s="544">
        <f>IF(L273&gt;0,N273*100/L273,0)</f>
        <v>0</v>
      </c>
      <c r="P273" s="544">
        <f>IF(M273&gt;0,N273*100/M273,0)</f>
        <v>0</v>
      </c>
    </row>
    <row r="274" spans="1:16" ht="18.75" hidden="1" x14ac:dyDescent="0.25">
      <c r="A274" s="543"/>
      <c r="B274" s="418"/>
      <c r="C274" s="418"/>
      <c r="D274" s="418"/>
      <c r="E274" s="546" t="s">
        <v>19</v>
      </c>
      <c r="F274" s="418"/>
      <c r="G274" s="422"/>
      <c r="H274" s="631" t="s">
        <v>12</v>
      </c>
      <c r="I274" s="541"/>
      <c r="J274" s="541"/>
      <c r="K274" s="527"/>
      <c r="L274" s="544">
        <f ca="1">IFERROR(__xludf.DUMMYFUNCTION("IMPORTRANGE(""https://docs.google.com/spreadsheets/d/1-uDff_7J0KD5mKrp0Vvzr7lt3OU09vwQwhkpOPPYv2Y/edit?usp=sharing"",""งบพรบ!DH88"")"),0)</f>
        <v>0</v>
      </c>
      <c r="M274" s="544">
        <f ca="1">IFERROR(__xludf.DUMMYFUNCTION("IMPORTRANGE(""https://docs.google.com/spreadsheets/d/1-uDff_7J0KD5mKrp0Vvzr7lt3OU09vwQwhkpOPPYv2Y/edit?usp=sharing"",""งบพรบ!DK88"")"),0)</f>
        <v>0</v>
      </c>
      <c r="N274" s="544">
        <f ca="1">IFERROR(__xludf.DUMMYFUNCTION("IMPORTRANGE(""https://docs.google.com/spreadsheets/d/1-uDff_7J0KD5mKrp0Vvzr7lt3OU09vwQwhkpOPPYv2Y/edit?usp=sharing"",""งบพรบ!DM88"")"),0)</f>
        <v>0</v>
      </c>
      <c r="O274" s="544">
        <f ca="1">IF(L274&gt;0,N274*100/L274,0)</f>
        <v>0</v>
      </c>
      <c r="P274" s="544">
        <f ca="1">IF(M274&gt;0,N274*100/M274,0)</f>
        <v>0</v>
      </c>
    </row>
    <row r="275" spans="1:16" ht="19.5" hidden="1" x14ac:dyDescent="0.3">
      <c r="A275" s="531"/>
      <c r="B275" s="430"/>
      <c r="C275" s="546" t="s">
        <v>16</v>
      </c>
      <c r="D275" s="630" t="s">
        <v>36</v>
      </c>
      <c r="E275" s="535"/>
      <c r="F275" s="535"/>
      <c r="G275" s="534"/>
      <c r="H275" s="530"/>
      <c r="I275" s="541"/>
      <c r="J275" s="541"/>
      <c r="K275" s="527"/>
      <c r="L275" s="527"/>
      <c r="M275" s="527"/>
      <c r="N275" s="527"/>
      <c r="O275" s="527"/>
      <c r="P275" s="527"/>
    </row>
    <row r="276" spans="1:16" ht="12.75" hidden="1" x14ac:dyDescent="0.2">
      <c r="A276" s="593"/>
      <c r="B276" s="592"/>
      <c r="C276" s="592"/>
      <c r="D276" s="591"/>
      <c r="E276" s="591"/>
      <c r="F276" s="591"/>
      <c r="G276" s="590"/>
      <c r="H276" s="590"/>
      <c r="I276" s="589"/>
      <c r="J276" s="589"/>
      <c r="K276" s="588"/>
      <c r="L276" s="588"/>
      <c r="M276" s="588"/>
      <c r="N276" s="588"/>
      <c r="O276" s="588"/>
      <c r="P276" s="588"/>
    </row>
    <row r="277" spans="1:16" ht="18.75" hidden="1" x14ac:dyDescent="0.25">
      <c r="A277" s="629"/>
      <c r="B277" s="628"/>
      <c r="C277" s="628"/>
      <c r="D277" s="627" t="s">
        <v>109</v>
      </c>
      <c r="E277" s="626"/>
      <c r="F277" s="626"/>
      <c r="G277" s="625"/>
      <c r="H277" s="624" t="s">
        <v>33</v>
      </c>
      <c r="I277" s="623">
        <v>0</v>
      </c>
      <c r="J277" s="623">
        <v>0</v>
      </c>
      <c r="K277" s="622">
        <v>0</v>
      </c>
      <c r="L277" s="621"/>
      <c r="M277" s="621"/>
      <c r="N277" s="621"/>
      <c r="O277" s="621"/>
      <c r="P277" s="621"/>
    </row>
    <row r="278" spans="1:16" ht="19.5" x14ac:dyDescent="0.3">
      <c r="A278" s="620" t="s">
        <v>110</v>
      </c>
      <c r="B278" s="619"/>
      <c r="C278" s="619"/>
      <c r="D278" s="619"/>
      <c r="E278" s="618"/>
      <c r="F278" s="618"/>
      <c r="G278" s="618"/>
      <c r="H278" s="618"/>
      <c r="I278" s="617"/>
      <c r="J278" s="617"/>
      <c r="K278" s="616"/>
      <c r="L278" s="616"/>
      <c r="M278" s="616"/>
      <c r="N278" s="616"/>
      <c r="O278" s="616"/>
      <c r="P278" s="615"/>
    </row>
    <row r="279" spans="1:16" ht="19.5" x14ac:dyDescent="0.3">
      <c r="A279" s="614" t="s">
        <v>111</v>
      </c>
      <c r="B279" s="612"/>
      <c r="C279" s="613"/>
      <c r="D279" s="612"/>
      <c r="E279" s="612"/>
      <c r="F279" s="612"/>
      <c r="G279" s="612"/>
      <c r="H279" s="612"/>
      <c r="I279" s="611"/>
      <c r="J279" s="610"/>
      <c r="K279" s="609"/>
      <c r="L279" s="609"/>
      <c r="M279" s="609"/>
      <c r="N279" s="609"/>
      <c r="O279" s="609"/>
      <c r="P279" s="609"/>
    </row>
    <row r="280" spans="1:16" ht="19.5" x14ac:dyDescent="0.3">
      <c r="A280" s="607"/>
      <c r="B280" s="608" t="s">
        <v>112</v>
      </c>
      <c r="C280" s="605"/>
      <c r="D280" s="606"/>
      <c r="E280" s="605"/>
      <c r="F280" s="605"/>
      <c r="G280" s="604"/>
      <c r="H280" s="603" t="s">
        <v>33</v>
      </c>
      <c r="I280" s="602">
        <f ca="1">I293</f>
        <v>10</v>
      </c>
      <c r="J280" s="602">
        <f>J293</f>
        <v>0</v>
      </c>
      <c r="K280" s="601">
        <f ca="1">IF(I280&gt;0,J280*100/I280,0)</f>
        <v>0</v>
      </c>
      <c r="L280" s="600"/>
      <c r="M280" s="600"/>
      <c r="N280" s="600"/>
      <c r="O280" s="600"/>
      <c r="P280" s="600"/>
    </row>
    <row r="281" spans="1:16" ht="19.5" x14ac:dyDescent="0.3">
      <c r="A281" s="607"/>
      <c r="B281" s="605"/>
      <c r="C281" s="605"/>
      <c r="D281" s="606"/>
      <c r="E281" s="605"/>
      <c r="F281" s="605"/>
      <c r="G281" s="604"/>
      <c r="H281" s="603" t="s">
        <v>44</v>
      </c>
      <c r="I281" s="602">
        <f ca="1">I292</f>
        <v>100</v>
      </c>
      <c r="J281" s="602">
        <f>J292</f>
        <v>0</v>
      </c>
      <c r="K281" s="601">
        <f ca="1">IF(I281&gt;0,J281*100/I281,0)</f>
        <v>0</v>
      </c>
      <c r="L281" s="600"/>
      <c r="M281" s="600"/>
      <c r="N281" s="600"/>
      <c r="O281" s="600"/>
      <c r="P281" s="600"/>
    </row>
    <row r="282" spans="1:16" ht="19.5" x14ac:dyDescent="0.3">
      <c r="A282" s="543"/>
      <c r="B282" s="418"/>
      <c r="C282" s="537" t="s">
        <v>16</v>
      </c>
      <c r="D282" s="552" t="s">
        <v>17</v>
      </c>
      <c r="E282" s="418"/>
      <c r="F282" s="418"/>
      <c r="G282" s="422"/>
      <c r="H282" s="551" t="s">
        <v>12</v>
      </c>
      <c r="I282" s="427"/>
      <c r="J282" s="427"/>
      <c r="K282" s="428"/>
      <c r="L282" s="550">
        <f ca="1">L283+L284</f>
        <v>292520</v>
      </c>
      <c r="M282" s="550">
        <f ca="1">M283+M284</f>
        <v>213480</v>
      </c>
      <c r="N282" s="550">
        <f ca="1">N283+N284</f>
        <v>78718.850000000006</v>
      </c>
      <c r="O282" s="550">
        <f ca="1">IF(L282&gt;0,N282*100/L282,0)</f>
        <v>26.910587310269385</v>
      </c>
      <c r="P282" s="550">
        <f ca="1">IF(M282&gt;0,N282*100/M282,0)</f>
        <v>36.874109986884022</v>
      </c>
    </row>
    <row r="283" spans="1:16" ht="18.75" hidden="1" x14ac:dyDescent="0.25">
      <c r="A283" s="543"/>
      <c r="B283" s="418"/>
      <c r="C283" s="418"/>
      <c r="D283" s="418"/>
      <c r="E283" s="546" t="s">
        <v>18</v>
      </c>
      <c r="F283" s="418"/>
      <c r="G283" s="422"/>
      <c r="H283" s="549" t="s">
        <v>12</v>
      </c>
      <c r="I283" s="427"/>
      <c r="J283" s="427"/>
      <c r="K283" s="428"/>
      <c r="L283" s="544">
        <f>L286+L289</f>
        <v>0</v>
      </c>
      <c r="M283" s="544">
        <f>M286+M289</f>
        <v>0</v>
      </c>
      <c r="N283" s="544">
        <f>N286+N289</f>
        <v>0</v>
      </c>
      <c r="O283" s="544">
        <f>IF(L283&gt;0,N283*100/L283,0)</f>
        <v>0</v>
      </c>
      <c r="P283" s="544">
        <f>IF(M283&gt;0,N283*100/M283,0)</f>
        <v>0</v>
      </c>
    </row>
    <row r="284" spans="1:16" ht="18.75" x14ac:dyDescent="0.25">
      <c r="A284" s="543"/>
      <c r="B284" s="418"/>
      <c r="C284" s="418"/>
      <c r="D284" s="418"/>
      <c r="E284" s="293" t="s">
        <v>19</v>
      </c>
      <c r="F284" s="418"/>
      <c r="G284" s="422"/>
      <c r="H284" s="440" t="s">
        <v>12</v>
      </c>
      <c r="I284" s="427"/>
      <c r="J284" s="427"/>
      <c r="K284" s="428"/>
      <c r="L284" s="425">
        <f ca="1">L287+L290</f>
        <v>292520</v>
      </c>
      <c r="M284" s="425">
        <f ca="1">M287+M290</f>
        <v>213480</v>
      </c>
      <c r="N284" s="425">
        <f ca="1">N287+N290</f>
        <v>78718.850000000006</v>
      </c>
      <c r="O284" s="425">
        <f ca="1">IF(L284&gt;0,N284*100/L284,0)</f>
        <v>26.910587310269385</v>
      </c>
      <c r="P284" s="425">
        <f ca="1">IF(M284&gt;0,N284*100/M284,0)</f>
        <v>36.874109986884022</v>
      </c>
    </row>
    <row r="285" spans="1:16" ht="18.75" x14ac:dyDescent="0.25">
      <c r="A285" s="543"/>
      <c r="B285" s="418"/>
      <c r="C285" s="418"/>
      <c r="D285" s="547" t="s">
        <v>20</v>
      </c>
      <c r="E285" s="418"/>
      <c r="F285" s="418"/>
      <c r="G285" s="422"/>
      <c r="H285" s="548" t="s">
        <v>12</v>
      </c>
      <c r="I285" s="541"/>
      <c r="J285" s="541"/>
      <c r="K285" s="527"/>
      <c r="L285" s="425">
        <f ca="1">L286+L287</f>
        <v>292520</v>
      </c>
      <c r="M285" s="425">
        <f ca="1">M286+M287</f>
        <v>213480</v>
      </c>
      <c r="N285" s="425">
        <f ca="1">N286+N287</f>
        <v>78718.850000000006</v>
      </c>
      <c r="O285" s="425">
        <f ca="1">IF(L285&gt;0,N285*100/L285,0)</f>
        <v>26.910587310269385</v>
      </c>
      <c r="P285" s="425">
        <f ca="1">IF(M285&gt;0,N285*100/M285,0)</f>
        <v>36.874109986884022</v>
      </c>
    </row>
    <row r="286" spans="1:16" ht="18.75" hidden="1" x14ac:dyDescent="0.25">
      <c r="A286" s="543"/>
      <c r="B286" s="418"/>
      <c r="C286" s="418"/>
      <c r="D286" s="418"/>
      <c r="E286" s="546" t="s">
        <v>34</v>
      </c>
      <c r="F286" s="418"/>
      <c r="G286" s="422"/>
      <c r="H286" s="545" t="s">
        <v>12</v>
      </c>
      <c r="I286" s="541"/>
      <c r="J286" s="541"/>
      <c r="K286" s="527"/>
      <c r="L286" s="544">
        <v>0</v>
      </c>
      <c r="M286" s="544">
        <v>0</v>
      </c>
      <c r="N286" s="544">
        <v>0</v>
      </c>
      <c r="O286" s="544">
        <f>IF(L286&gt;0,N286*100/L286,0)</f>
        <v>0</v>
      </c>
      <c r="P286" s="544">
        <f>IF(M286&gt;0,N286*100/M286,0)</f>
        <v>0</v>
      </c>
    </row>
    <row r="287" spans="1:16" ht="18.75" x14ac:dyDescent="0.25">
      <c r="A287" s="543"/>
      <c r="B287" s="418"/>
      <c r="C287" s="418"/>
      <c r="D287" s="418"/>
      <c r="E287" s="293" t="s">
        <v>35</v>
      </c>
      <c r="F287" s="418"/>
      <c r="G287" s="422"/>
      <c r="H287" s="548" t="s">
        <v>12</v>
      </c>
      <c r="I287" s="541"/>
      <c r="J287" s="541"/>
      <c r="K287" s="527"/>
      <c r="L287" s="425">
        <f ca="1">IFERROR(__xludf.DUMMYFUNCTION("IMPORTRANGE(""https://docs.google.com/spreadsheets/d/1-uDff_7J0KD5mKrp0Vvzr7lt3OU09vwQwhkpOPPYv2Y/edit?usp=sharing"",""งบพรบ!DO88"")"),292520)</f>
        <v>292520</v>
      </c>
      <c r="M287" s="425">
        <f ca="1">IFERROR(__xludf.DUMMYFUNCTION("IMPORTRANGE(""https://docs.google.com/spreadsheets/d/1-uDff_7J0KD5mKrp0Vvzr7lt3OU09vwQwhkpOPPYv2Y/edit?usp=sharing"",""งบพรบ!DT88"")"),213480)</f>
        <v>213480</v>
      </c>
      <c r="N287" s="425">
        <f ca="1">IFERROR(__xludf.DUMMYFUNCTION("IMPORTRANGE(""https://docs.google.com/spreadsheets/d/1-uDff_7J0KD5mKrp0Vvzr7lt3OU09vwQwhkpOPPYv2Y/edit?usp=sharing"",""งบพรบ!DV88"")"),78718.85)</f>
        <v>78718.850000000006</v>
      </c>
      <c r="O287" s="425">
        <f ca="1">IF(L287&gt;0,N287*100/L287,0)</f>
        <v>26.910587310269385</v>
      </c>
      <c r="P287" s="425">
        <f ca="1">IF(M287&gt;0,N287*100/M287,0)</f>
        <v>36.874109986884022</v>
      </c>
    </row>
    <row r="288" spans="1:16" ht="18.75" x14ac:dyDescent="0.25">
      <c r="A288" s="543"/>
      <c r="B288" s="418"/>
      <c r="C288" s="418"/>
      <c r="D288" s="547" t="s">
        <v>21</v>
      </c>
      <c r="E288" s="418"/>
      <c r="F288" s="418"/>
      <c r="G288" s="422"/>
      <c r="H288" s="542" t="s">
        <v>12</v>
      </c>
      <c r="I288" s="541"/>
      <c r="J288" s="541"/>
      <c r="K288" s="527"/>
      <c r="L288" s="425">
        <f ca="1">L289+L290</f>
        <v>0</v>
      </c>
      <c r="M288" s="425">
        <f ca="1">M289+M290</f>
        <v>0</v>
      </c>
      <c r="N288" s="425">
        <f ca="1">N289+N290</f>
        <v>0</v>
      </c>
      <c r="O288" s="425">
        <f ca="1">IF(L288&gt;0,N288*100/L288,0)</f>
        <v>0</v>
      </c>
      <c r="P288" s="425">
        <f ca="1">IF(M288&gt;0,N288*100/M288,0)</f>
        <v>0</v>
      </c>
    </row>
    <row r="289" spans="1:16" ht="18.75" hidden="1" x14ac:dyDescent="0.25">
      <c r="A289" s="543"/>
      <c r="B289" s="418"/>
      <c r="C289" s="418"/>
      <c r="D289" s="418"/>
      <c r="E289" s="546" t="s">
        <v>18</v>
      </c>
      <c r="F289" s="418"/>
      <c r="G289" s="422"/>
      <c r="H289" s="545" t="s">
        <v>12</v>
      </c>
      <c r="I289" s="541"/>
      <c r="J289" s="541"/>
      <c r="K289" s="527"/>
      <c r="L289" s="544">
        <v>0</v>
      </c>
      <c r="M289" s="544">
        <v>0</v>
      </c>
      <c r="N289" s="544">
        <v>0</v>
      </c>
      <c r="O289" s="544">
        <f>IF(L289&gt;0,N289*100/L289,0)</f>
        <v>0</v>
      </c>
      <c r="P289" s="544">
        <f>IF(M289&gt;0,N289*100/M289,0)</f>
        <v>0</v>
      </c>
    </row>
    <row r="290" spans="1:16" ht="18.75" x14ac:dyDescent="0.25">
      <c r="A290" s="543"/>
      <c r="B290" s="418"/>
      <c r="C290" s="418"/>
      <c r="D290" s="418"/>
      <c r="E290" s="293" t="s">
        <v>19</v>
      </c>
      <c r="F290" s="418"/>
      <c r="G290" s="422"/>
      <c r="H290" s="542" t="s">
        <v>12</v>
      </c>
      <c r="I290" s="541"/>
      <c r="J290" s="541"/>
      <c r="K290" s="527"/>
      <c r="L290" s="425">
        <f ca="1">IFERROR(__xludf.DUMMYFUNCTION("IMPORTRANGE(""https://docs.google.com/spreadsheets/d/1-uDff_7J0KD5mKrp0Vvzr7lt3OU09vwQwhkpOPPYv2Y/edit?usp=sharing"",""งบพรบ!DR88"")"),0)</f>
        <v>0</v>
      </c>
      <c r="M290" s="425">
        <f ca="1">IFERROR(__xludf.DUMMYFUNCTION("IMPORTRANGE(""https://docs.google.com/spreadsheets/d/1-uDff_7J0KD5mKrp0Vvzr7lt3OU09vwQwhkpOPPYv2Y/edit?usp=sharing"",""งบพรบ!DU88"")"),0)</f>
        <v>0</v>
      </c>
      <c r="N290" s="425">
        <f ca="1">IFERROR(__xludf.DUMMYFUNCTION("IMPORTRANGE(""https://docs.google.com/spreadsheets/d/1-uDff_7J0KD5mKrp0Vvzr7lt3OU09vwQwhkpOPPYv2Y/edit?usp=sharing"",""งบพรบ!DW88"")"),0)</f>
        <v>0</v>
      </c>
      <c r="O290" s="425">
        <f ca="1">IF(L290&gt;0,N290*100/L290,0)</f>
        <v>0</v>
      </c>
      <c r="P290" s="425">
        <f ca="1">IF(M290&gt;0,N290*100/M290,0)</f>
        <v>0</v>
      </c>
    </row>
    <row r="291" spans="1:16" ht="19.5" x14ac:dyDescent="0.3">
      <c r="A291" s="531"/>
      <c r="B291" s="430"/>
      <c r="C291" s="537" t="s">
        <v>16</v>
      </c>
      <c r="D291" s="536" t="s">
        <v>36</v>
      </c>
      <c r="E291" s="535"/>
      <c r="F291" s="535"/>
      <c r="G291" s="534"/>
      <c r="H291" s="530"/>
      <c r="I291" s="541"/>
      <c r="J291" s="541"/>
      <c r="K291" s="527"/>
      <c r="L291" s="527"/>
      <c r="M291" s="527"/>
      <c r="N291" s="527"/>
      <c r="O291" s="527"/>
      <c r="P291" s="527"/>
    </row>
    <row r="292" spans="1:16" ht="18.75" x14ac:dyDescent="0.25">
      <c r="A292" s="531"/>
      <c r="B292" s="430"/>
      <c r="C292" s="430"/>
      <c r="D292" s="421" t="s">
        <v>113</v>
      </c>
      <c r="E292" s="430"/>
      <c r="F292" s="420"/>
      <c r="G292" s="530"/>
      <c r="H292" s="533" t="s">
        <v>44</v>
      </c>
      <c r="I292" s="424">
        <f ca="1">IFERROR(__xludf.DUMMYFUNCTION("IMPORTRANGE(""https://docs.google.com/spreadsheets/d/1eHaY18a8A9IcSdp1K8H6x8fbOy06t2VsZHhMHf-1x7Y/edit?usp=sharing"",""แผน!EE88"")"),100)</f>
        <v>100</v>
      </c>
      <c r="J292" s="568">
        <v>0</v>
      </c>
      <c r="K292" s="594">
        <f ca="1">IF(I292&gt;0,J292*100/I292,0)</f>
        <v>0</v>
      </c>
      <c r="L292" s="527"/>
      <c r="M292" s="527"/>
      <c r="N292" s="527"/>
      <c r="O292" s="527"/>
      <c r="P292" s="527"/>
    </row>
    <row r="293" spans="1:16" ht="19.5" x14ac:dyDescent="0.3">
      <c r="A293" s="531"/>
      <c r="B293" s="430"/>
      <c r="C293" s="430"/>
      <c r="D293" s="421" t="s">
        <v>114</v>
      </c>
      <c r="E293" s="430"/>
      <c r="F293" s="420"/>
      <c r="G293" s="530"/>
      <c r="H293" s="599" t="s">
        <v>33</v>
      </c>
      <c r="I293" s="598">
        <f ca="1">IFERROR(__xludf.DUMMYFUNCTION("IMPORTRANGE(""https://docs.google.com/spreadsheets/d/1eHaY18a8A9IcSdp1K8H6x8fbOy06t2VsZHhMHf-1x7Y/edit?usp=sharing"",""แผน!ED88"")"),10)</f>
        <v>10</v>
      </c>
      <c r="J293" s="598">
        <f>J296</f>
        <v>0</v>
      </c>
      <c r="K293" s="597">
        <f ca="1">IF(I293&gt;0,J293*100/I293,0)</f>
        <v>0</v>
      </c>
      <c r="L293" s="527"/>
      <c r="M293" s="527"/>
      <c r="N293" s="527"/>
      <c r="O293" s="527"/>
      <c r="P293" s="527"/>
    </row>
    <row r="294" spans="1:16" ht="19.5" x14ac:dyDescent="0.3">
      <c r="A294" s="531"/>
      <c r="B294" s="430"/>
      <c r="C294" s="430"/>
      <c r="D294" s="420"/>
      <c r="E294" s="596" t="s">
        <v>154</v>
      </c>
      <c r="F294" s="420"/>
      <c r="G294" s="530"/>
      <c r="H294" s="530"/>
      <c r="I294" s="541"/>
      <c r="J294" s="427"/>
      <c r="K294" s="527"/>
      <c r="L294" s="527"/>
      <c r="M294" s="527"/>
      <c r="N294" s="527"/>
      <c r="O294" s="527"/>
      <c r="P294" s="527"/>
    </row>
    <row r="295" spans="1:16" ht="19.5" x14ac:dyDescent="0.3">
      <c r="A295" s="531"/>
      <c r="B295" s="430"/>
      <c r="C295" s="430"/>
      <c r="D295" s="420"/>
      <c r="E295" s="421" t="s">
        <v>153</v>
      </c>
      <c r="F295" s="420"/>
      <c r="G295" s="530"/>
      <c r="H295" s="529" t="s">
        <v>33</v>
      </c>
      <c r="I295" s="595">
        <f ca="1">IFERROR(__xludf.DUMMYFUNCTION("IMPORTRANGE(""https://docs.google.com/spreadsheets/d/1eHaY18a8A9IcSdp1K8H6x8fbOy06t2VsZHhMHf-1x7Y/edit?usp=sharing"",""แผน!ED88"")"),10)</f>
        <v>10</v>
      </c>
      <c r="J295" s="568">
        <v>0</v>
      </c>
      <c r="K295" s="594">
        <f ca="1">IF(I295&gt;0,J295*100/I295,0)</f>
        <v>0</v>
      </c>
      <c r="L295" s="527"/>
      <c r="M295" s="527"/>
      <c r="N295" s="527"/>
      <c r="O295" s="527"/>
      <c r="P295" s="527"/>
    </row>
    <row r="296" spans="1:16" ht="19.5" x14ac:dyDescent="0.3">
      <c r="A296" s="531"/>
      <c r="B296" s="430"/>
      <c r="C296" s="430"/>
      <c r="D296" s="420"/>
      <c r="E296" s="421" t="s">
        <v>152</v>
      </c>
      <c r="F296" s="420"/>
      <c r="G296" s="530"/>
      <c r="H296" s="529" t="s">
        <v>33</v>
      </c>
      <c r="I296" s="595">
        <f ca="1">IFERROR(__xludf.DUMMYFUNCTION("IMPORTRANGE(""https://docs.google.com/spreadsheets/d/1eHaY18a8A9IcSdp1K8H6x8fbOy06t2VsZHhMHf-1x7Y/edit?usp=sharing"",""แผน!ED88"")"),10)</f>
        <v>10</v>
      </c>
      <c r="J296" s="568">
        <v>0</v>
      </c>
      <c r="K296" s="594">
        <f ca="1">IF(I296&gt;0,J296*100/I296,0)</f>
        <v>0</v>
      </c>
      <c r="L296" s="527"/>
      <c r="M296" s="527"/>
      <c r="N296" s="527"/>
      <c r="O296" s="527"/>
      <c r="P296" s="527"/>
    </row>
    <row r="297" spans="1:16" ht="12.75" hidden="1" x14ac:dyDescent="0.2">
      <c r="A297" s="593"/>
      <c r="B297" s="592"/>
      <c r="C297" s="592"/>
      <c r="D297" s="591"/>
      <c r="E297" s="591"/>
      <c r="F297" s="591"/>
      <c r="G297" s="590"/>
      <c r="H297" s="590"/>
      <c r="I297" s="589"/>
      <c r="J297" s="589"/>
      <c r="K297" s="588"/>
      <c r="L297" s="588"/>
      <c r="M297" s="588"/>
      <c r="N297" s="588"/>
      <c r="O297" s="588"/>
      <c r="P297" s="588"/>
    </row>
    <row r="298" spans="1:16" ht="12.75" hidden="1" x14ac:dyDescent="0.2">
      <c r="A298" s="593"/>
      <c r="B298" s="592"/>
      <c r="C298" s="592"/>
      <c r="D298" s="591"/>
      <c r="E298" s="591"/>
      <c r="F298" s="591"/>
      <c r="G298" s="590"/>
      <c r="H298" s="590"/>
      <c r="I298" s="589"/>
      <c r="J298" s="589"/>
      <c r="K298" s="588"/>
      <c r="L298" s="588"/>
      <c r="M298" s="588"/>
      <c r="N298" s="588"/>
      <c r="O298" s="588"/>
      <c r="P298" s="588"/>
    </row>
    <row r="299" spans="1:16" ht="12.75" hidden="1" x14ac:dyDescent="0.2">
      <c r="A299" s="587"/>
      <c r="B299" s="586"/>
      <c r="C299" s="586"/>
      <c r="D299" s="585"/>
      <c r="E299" s="585"/>
      <c r="F299" s="585"/>
      <c r="G299" s="584"/>
      <c r="H299" s="584"/>
      <c r="I299" s="583"/>
      <c r="J299" s="583"/>
      <c r="K299" s="582"/>
      <c r="L299" s="582"/>
      <c r="M299" s="582"/>
      <c r="N299" s="582"/>
      <c r="O299" s="582"/>
      <c r="P299" s="582"/>
    </row>
    <row r="300" spans="1:16" ht="19.5" x14ac:dyDescent="0.3">
      <c r="A300" s="581" t="s">
        <v>118</v>
      </c>
      <c r="B300" s="580"/>
      <c r="C300" s="580"/>
      <c r="D300" s="580"/>
      <c r="E300" s="579"/>
      <c r="F300" s="579"/>
      <c r="G300" s="579"/>
      <c r="H300" s="579"/>
      <c r="I300" s="578"/>
      <c r="J300" s="578"/>
      <c r="K300" s="577"/>
      <c r="L300" s="577"/>
      <c r="M300" s="577"/>
      <c r="N300" s="577"/>
      <c r="O300" s="577"/>
      <c r="P300" s="576"/>
    </row>
    <row r="301" spans="1:16" ht="19.5" x14ac:dyDescent="0.3">
      <c r="A301" s="567" t="s">
        <v>119</v>
      </c>
      <c r="B301" s="566"/>
      <c r="C301" s="566"/>
      <c r="D301" s="565"/>
      <c r="E301" s="565"/>
      <c r="F301" s="565"/>
      <c r="G301" s="575"/>
      <c r="H301" s="575"/>
      <c r="I301" s="564"/>
      <c r="J301" s="564"/>
      <c r="K301" s="563"/>
      <c r="L301" s="563"/>
      <c r="M301" s="563"/>
      <c r="N301" s="563"/>
      <c r="O301" s="563"/>
      <c r="P301" s="563"/>
    </row>
    <row r="302" spans="1:16" ht="19.5" x14ac:dyDescent="0.3">
      <c r="A302" s="559"/>
      <c r="B302" s="558" t="s">
        <v>120</v>
      </c>
      <c r="C302" s="556"/>
      <c r="D302" s="556"/>
      <c r="E302" s="556"/>
      <c r="F302" s="556"/>
      <c r="G302" s="555"/>
      <c r="H302" s="562" t="s">
        <v>33</v>
      </c>
      <c r="I302" s="571">
        <f ca="1">I314</f>
        <v>20</v>
      </c>
      <c r="J302" s="571">
        <f>J314</f>
        <v>0</v>
      </c>
      <c r="K302" s="570">
        <f ca="1">IF(I302&gt;0,J302*100/I302,0)</f>
        <v>0</v>
      </c>
      <c r="L302" s="553"/>
      <c r="M302" s="553"/>
      <c r="N302" s="553"/>
      <c r="O302" s="553"/>
      <c r="P302" s="553"/>
    </row>
    <row r="303" spans="1:16" ht="19.5" x14ac:dyDescent="0.3">
      <c r="A303" s="543"/>
      <c r="B303" s="418"/>
      <c r="C303" s="537" t="s">
        <v>16</v>
      </c>
      <c r="D303" s="552" t="s">
        <v>17</v>
      </c>
      <c r="E303" s="418"/>
      <c r="F303" s="418"/>
      <c r="G303" s="422"/>
      <c r="H303" s="551" t="s">
        <v>12</v>
      </c>
      <c r="I303" s="427"/>
      <c r="J303" s="427"/>
      <c r="K303" s="428"/>
      <c r="L303" s="550">
        <f ca="1">L304+L305</f>
        <v>184600</v>
      </c>
      <c r="M303" s="550">
        <f ca="1">M304+M305</f>
        <v>137400</v>
      </c>
      <c r="N303" s="550">
        <f ca="1">N304+N305</f>
        <v>20899.990000000002</v>
      </c>
      <c r="O303" s="550">
        <f ca="1">IF(L303&gt;0,N303*100/L303,0)</f>
        <v>11.32177139761647</v>
      </c>
      <c r="P303" s="550">
        <f ca="1">IF(M303&gt;0,N303*100/M303,0)</f>
        <v>15.211055312954878</v>
      </c>
    </row>
    <row r="304" spans="1:16" ht="18.75" hidden="1" x14ac:dyDescent="0.25">
      <c r="A304" s="543"/>
      <c r="B304" s="418"/>
      <c r="C304" s="418"/>
      <c r="D304" s="418"/>
      <c r="E304" s="546" t="s">
        <v>18</v>
      </c>
      <c r="F304" s="418"/>
      <c r="G304" s="422"/>
      <c r="H304" s="549" t="s">
        <v>12</v>
      </c>
      <c r="I304" s="427"/>
      <c r="J304" s="427"/>
      <c r="K304" s="428"/>
      <c r="L304" s="544">
        <f>L307+L310</f>
        <v>0</v>
      </c>
      <c r="M304" s="544">
        <f>M307+M310</f>
        <v>0</v>
      </c>
      <c r="N304" s="544">
        <f>N307+N310</f>
        <v>0</v>
      </c>
      <c r="O304" s="544">
        <f>IF(L304&gt;0,N304*100/L304,0)</f>
        <v>0</v>
      </c>
      <c r="P304" s="544">
        <f>IF(M304&gt;0,N304*100/M304,0)</f>
        <v>0</v>
      </c>
    </row>
    <row r="305" spans="1:16" ht="18.75" x14ac:dyDescent="0.25">
      <c r="A305" s="543"/>
      <c r="B305" s="418"/>
      <c r="C305" s="418"/>
      <c r="D305" s="418"/>
      <c r="E305" s="293" t="s">
        <v>19</v>
      </c>
      <c r="F305" s="418"/>
      <c r="G305" s="422"/>
      <c r="H305" s="440" t="s">
        <v>12</v>
      </c>
      <c r="I305" s="427"/>
      <c r="J305" s="427"/>
      <c r="K305" s="428"/>
      <c r="L305" s="425">
        <f ca="1">L308+L311</f>
        <v>184600</v>
      </c>
      <c r="M305" s="425">
        <f ca="1">M308+M311</f>
        <v>137400</v>
      </c>
      <c r="N305" s="425">
        <f ca="1">N308+N311</f>
        <v>20899.990000000002</v>
      </c>
      <c r="O305" s="425">
        <f ca="1">IF(L305&gt;0,N305*100/L305,0)</f>
        <v>11.32177139761647</v>
      </c>
      <c r="P305" s="425">
        <f ca="1">IF(M305&gt;0,N305*100/M305,0)</f>
        <v>15.211055312954878</v>
      </c>
    </row>
    <row r="306" spans="1:16" ht="18.75" x14ac:dyDescent="0.25">
      <c r="A306" s="543"/>
      <c r="B306" s="418"/>
      <c r="C306" s="418"/>
      <c r="D306" s="547" t="s">
        <v>20</v>
      </c>
      <c r="E306" s="418"/>
      <c r="F306" s="418"/>
      <c r="G306" s="422"/>
      <c r="H306" s="548" t="s">
        <v>12</v>
      </c>
      <c r="I306" s="541"/>
      <c r="J306" s="541"/>
      <c r="K306" s="527"/>
      <c r="L306" s="425">
        <f ca="1">L307+L308</f>
        <v>184600</v>
      </c>
      <c r="M306" s="425">
        <f ca="1">M307+M308</f>
        <v>137400</v>
      </c>
      <c r="N306" s="425">
        <f ca="1">N307+N308</f>
        <v>20899.990000000002</v>
      </c>
      <c r="O306" s="425">
        <f ca="1">IF(L306&gt;0,N306*100/L306,0)</f>
        <v>11.32177139761647</v>
      </c>
      <c r="P306" s="425">
        <f ca="1">IF(M306&gt;0,N306*100/M306,0)</f>
        <v>15.211055312954878</v>
      </c>
    </row>
    <row r="307" spans="1:16" ht="18.75" hidden="1" x14ac:dyDescent="0.25">
      <c r="A307" s="543"/>
      <c r="B307" s="418"/>
      <c r="C307" s="418"/>
      <c r="D307" s="418"/>
      <c r="E307" s="546" t="s">
        <v>34</v>
      </c>
      <c r="F307" s="418"/>
      <c r="G307" s="422"/>
      <c r="H307" s="545" t="s">
        <v>12</v>
      </c>
      <c r="I307" s="541"/>
      <c r="J307" s="541"/>
      <c r="K307" s="527"/>
      <c r="L307" s="544">
        <v>0</v>
      </c>
      <c r="M307" s="544">
        <v>0</v>
      </c>
      <c r="N307" s="544">
        <v>0</v>
      </c>
      <c r="O307" s="544">
        <f>IF(L307&gt;0,N307*100/L307,0)</f>
        <v>0</v>
      </c>
      <c r="P307" s="544">
        <f>IF(M307&gt;0,N307*100/M307,0)</f>
        <v>0</v>
      </c>
    </row>
    <row r="308" spans="1:16" ht="18.75" x14ac:dyDescent="0.25">
      <c r="A308" s="543"/>
      <c r="B308" s="418"/>
      <c r="C308" s="418"/>
      <c r="D308" s="418"/>
      <c r="E308" s="293" t="s">
        <v>35</v>
      </c>
      <c r="F308" s="418"/>
      <c r="G308" s="422"/>
      <c r="H308" s="548" t="s">
        <v>12</v>
      </c>
      <c r="I308" s="541"/>
      <c r="J308" s="541"/>
      <c r="K308" s="527"/>
      <c r="L308" s="425">
        <f ca="1">IFERROR(__xludf.DUMMYFUNCTION("IMPORTRANGE(""https://docs.google.com/spreadsheets/d/1-uDff_7J0KD5mKrp0Vvzr7lt3OU09vwQwhkpOPPYv2Y/edit?usp=sharing"",""งบพรบ!DY88"")"),184600)</f>
        <v>184600</v>
      </c>
      <c r="M308" s="425">
        <f ca="1">IFERROR(__xludf.DUMMYFUNCTION("IMPORTRANGE(""https://docs.google.com/spreadsheets/d/1-uDff_7J0KD5mKrp0Vvzr7lt3OU09vwQwhkpOPPYv2Y/edit?usp=sharing"",""งบพรบ!ED88"")"),137400)</f>
        <v>137400</v>
      </c>
      <c r="N308" s="425">
        <f ca="1">IFERROR(__xludf.DUMMYFUNCTION("IMPORTRANGE(""https://docs.google.com/spreadsheets/d/1-uDff_7J0KD5mKrp0Vvzr7lt3OU09vwQwhkpOPPYv2Y/edit?usp=sharing"",""งบพรบ!EF88"")"),20899.99)</f>
        <v>20899.990000000002</v>
      </c>
      <c r="O308" s="425">
        <f ca="1">IF(L308&gt;0,N308*100/L308,0)</f>
        <v>11.32177139761647</v>
      </c>
      <c r="P308" s="425">
        <f ca="1">IF(M308&gt;0,N308*100/M308,0)</f>
        <v>15.211055312954878</v>
      </c>
    </row>
    <row r="309" spans="1:16" ht="18.75" x14ac:dyDescent="0.25">
      <c r="A309" s="543"/>
      <c r="B309" s="418"/>
      <c r="C309" s="418"/>
      <c r="D309" s="547" t="s">
        <v>21</v>
      </c>
      <c r="E309" s="418"/>
      <c r="F309" s="418"/>
      <c r="G309" s="422"/>
      <c r="H309" s="542" t="s">
        <v>12</v>
      </c>
      <c r="I309" s="541"/>
      <c r="J309" s="541"/>
      <c r="K309" s="527"/>
      <c r="L309" s="425">
        <f ca="1">L310+L311</f>
        <v>0</v>
      </c>
      <c r="M309" s="425">
        <f ca="1">M310+M311</f>
        <v>0</v>
      </c>
      <c r="N309" s="425">
        <f ca="1">N310+N311</f>
        <v>0</v>
      </c>
      <c r="O309" s="425">
        <f ca="1">IF(L309&gt;0,N309*100/L309,0)</f>
        <v>0</v>
      </c>
      <c r="P309" s="425">
        <f ca="1">IF(M309&gt;0,N309*100/M309,0)</f>
        <v>0</v>
      </c>
    </row>
    <row r="310" spans="1:16" ht="18.75" hidden="1" x14ac:dyDescent="0.25">
      <c r="A310" s="543"/>
      <c r="B310" s="418"/>
      <c r="C310" s="418"/>
      <c r="D310" s="418"/>
      <c r="E310" s="546" t="s">
        <v>18</v>
      </c>
      <c r="F310" s="418"/>
      <c r="G310" s="422"/>
      <c r="H310" s="545" t="s">
        <v>12</v>
      </c>
      <c r="I310" s="541"/>
      <c r="J310" s="541"/>
      <c r="K310" s="527"/>
      <c r="L310" s="544">
        <v>0</v>
      </c>
      <c r="M310" s="544">
        <v>0</v>
      </c>
      <c r="N310" s="544">
        <v>0</v>
      </c>
      <c r="O310" s="544">
        <f>IF(L310&gt;0,N310*100/L310,0)</f>
        <v>0</v>
      </c>
      <c r="P310" s="544">
        <f>IF(M310&gt;0,N310*100/M310,0)</f>
        <v>0</v>
      </c>
    </row>
    <row r="311" spans="1:16" ht="18.75" x14ac:dyDescent="0.25">
      <c r="A311" s="543"/>
      <c r="B311" s="418"/>
      <c r="C311" s="418"/>
      <c r="D311" s="418"/>
      <c r="E311" s="293" t="s">
        <v>19</v>
      </c>
      <c r="F311" s="418"/>
      <c r="G311" s="422"/>
      <c r="H311" s="542" t="s">
        <v>12</v>
      </c>
      <c r="I311" s="541"/>
      <c r="J311" s="541"/>
      <c r="K311" s="527"/>
      <c r="L311" s="425">
        <f ca="1">IFERROR(__xludf.DUMMYFUNCTION("IMPORTRANGE(""https://docs.google.com/spreadsheets/d/1-uDff_7J0KD5mKrp0Vvzr7lt3OU09vwQwhkpOPPYv2Y/edit?usp=sharing"",""งบพรบ!EB88"")"),0)</f>
        <v>0</v>
      </c>
      <c r="M311" s="425">
        <f ca="1">IFERROR(__xludf.DUMMYFUNCTION("IMPORTRANGE(""https://docs.google.com/spreadsheets/d/1-uDff_7J0KD5mKrp0Vvzr7lt3OU09vwQwhkpOPPYv2Y/edit?usp=sharing"",""งบพรบ!EE88"")"),0)</f>
        <v>0</v>
      </c>
      <c r="N311" s="425">
        <f ca="1">IFERROR(__xludf.DUMMYFUNCTION("IMPORTRANGE(""https://docs.google.com/spreadsheets/d/1-uDff_7J0KD5mKrp0Vvzr7lt3OU09vwQwhkpOPPYv2Y/edit?usp=sharing"",""งบพรบ!EG88"")"),0)</f>
        <v>0</v>
      </c>
      <c r="O311" s="425">
        <f ca="1">IF(L311&gt;0,N311*100/L311,0)</f>
        <v>0</v>
      </c>
      <c r="P311" s="425">
        <f ca="1">IF(M311&gt;0,N311*100/M311,0)</f>
        <v>0</v>
      </c>
    </row>
    <row r="312" spans="1:16" ht="19.5" x14ac:dyDescent="0.3">
      <c r="A312" s="531"/>
      <c r="B312" s="430"/>
      <c r="C312" s="537" t="s">
        <v>16</v>
      </c>
      <c r="D312" s="536" t="s">
        <v>36</v>
      </c>
      <c r="E312" s="535"/>
      <c r="F312" s="535"/>
      <c r="G312" s="534"/>
      <c r="H312" s="530"/>
      <c r="I312" s="427"/>
      <c r="J312" s="427"/>
      <c r="K312" s="428"/>
      <c r="L312" s="428"/>
      <c r="M312" s="428"/>
      <c r="N312" s="428"/>
      <c r="O312" s="428"/>
      <c r="P312" s="428"/>
    </row>
    <row r="313" spans="1:16" ht="18.75" x14ac:dyDescent="0.25">
      <c r="A313" s="531"/>
      <c r="B313" s="430"/>
      <c r="C313" s="430"/>
      <c r="D313" s="421" t="s">
        <v>121</v>
      </c>
      <c r="E313" s="420"/>
      <c r="F313" s="420"/>
      <c r="G313" s="530"/>
      <c r="H313" s="530"/>
      <c r="I313" s="427"/>
      <c r="J313" s="568">
        <v>0</v>
      </c>
      <c r="K313" s="428"/>
      <c r="L313" s="428"/>
      <c r="M313" s="428"/>
      <c r="N313" s="428"/>
      <c r="O313" s="428"/>
      <c r="P313" s="428"/>
    </row>
    <row r="314" spans="1:16" ht="18.75" x14ac:dyDescent="0.25">
      <c r="A314" s="531"/>
      <c r="B314" s="430"/>
      <c r="C314" s="430"/>
      <c r="D314" s="421" t="s">
        <v>114</v>
      </c>
      <c r="E314" s="420"/>
      <c r="F314" s="420"/>
      <c r="G314" s="530"/>
      <c r="H314" s="529" t="s">
        <v>33</v>
      </c>
      <c r="I314" s="424">
        <f ca="1">IFERROR(__xludf.DUMMYFUNCTION("IMPORTRANGE(""https://docs.google.com/spreadsheets/d/1eHaY18a8A9IcSdp1K8H6x8fbOy06t2VsZHhMHf-1x7Y/edit?usp=sharing"",""แผน!EF88"")"),20)</f>
        <v>20</v>
      </c>
      <c r="J314" s="568">
        <v>0</v>
      </c>
      <c r="K314" s="425">
        <f ca="1">IF(I314&gt;0,J314*100/I314,0)</f>
        <v>0</v>
      </c>
      <c r="L314" s="428"/>
      <c r="M314" s="428"/>
      <c r="N314" s="428"/>
      <c r="O314" s="428"/>
      <c r="P314" s="428"/>
    </row>
    <row r="315" spans="1:16" ht="18.75" x14ac:dyDescent="0.25">
      <c r="A315" s="531"/>
      <c r="B315" s="430"/>
      <c r="C315" s="430"/>
      <c r="D315" s="421" t="s">
        <v>122</v>
      </c>
      <c r="E315" s="420"/>
      <c r="F315" s="420"/>
      <c r="G315" s="530"/>
      <c r="H315" s="529" t="s">
        <v>33</v>
      </c>
      <c r="I315" s="424">
        <f ca="1">IFERROR(__xludf.DUMMYFUNCTION("IMPORTRANGE(""https://docs.google.com/spreadsheets/d/1eHaY18a8A9IcSdp1K8H6x8fbOy06t2VsZHhMHf-1x7Y/edit?usp=sharing"",""แผน!EG88"")"),4)</f>
        <v>4</v>
      </c>
      <c r="J315" s="568">
        <v>0</v>
      </c>
      <c r="K315" s="425">
        <f ca="1">IF(I315&gt;0,J315*100/I315,0)</f>
        <v>0</v>
      </c>
      <c r="L315" s="428"/>
      <c r="M315" s="428"/>
      <c r="N315" s="428"/>
      <c r="O315" s="428"/>
      <c r="P315" s="428"/>
    </row>
    <row r="316" spans="1:16" ht="18.75" x14ac:dyDescent="0.25">
      <c r="A316" s="531"/>
      <c r="B316" s="430"/>
      <c r="C316" s="430"/>
      <c r="D316" s="421" t="s">
        <v>48</v>
      </c>
      <c r="E316" s="420"/>
      <c r="F316" s="420"/>
      <c r="G316" s="530"/>
      <c r="H316" s="529" t="s">
        <v>33</v>
      </c>
      <c r="I316" s="424">
        <f ca="1">IFERROR(__xludf.DUMMYFUNCTION("IMPORTRANGE(""https://docs.google.com/spreadsheets/d/1eHaY18a8A9IcSdp1K8H6x8fbOy06t2VsZHhMHf-1x7Y/edit?usp=sharing"",""แผน!EH88"")"),20)</f>
        <v>20</v>
      </c>
      <c r="J316" s="568">
        <v>0</v>
      </c>
      <c r="K316" s="425">
        <f ca="1">IF(I316&gt;0,J316*100/I316,0)</f>
        <v>0</v>
      </c>
      <c r="L316" s="428"/>
      <c r="M316" s="428"/>
      <c r="N316" s="428"/>
      <c r="O316" s="428"/>
      <c r="P316" s="428"/>
    </row>
    <row r="317" spans="1:16" ht="18.75" hidden="1" x14ac:dyDescent="0.25">
      <c r="A317" s="417"/>
      <c r="B317" s="419"/>
      <c r="C317" s="419"/>
      <c r="D317" s="546" t="s">
        <v>123</v>
      </c>
      <c r="E317" s="418"/>
      <c r="F317" s="418"/>
      <c r="G317" s="422"/>
      <c r="H317" s="574" t="s">
        <v>33</v>
      </c>
      <c r="I317" s="199">
        <f ca="1">IFERROR(__xludf.DUMMYFUNCTION("IMPORTRANGE(""https://docs.google.com/spreadsheets/d/1eHaY18a8A9IcSdp1K8H6x8fbOy06t2VsZHhMHf-1x7Y/edit?usp=sharing"",""แผน!EI88"")"),4)</f>
        <v>4</v>
      </c>
      <c r="J317" s="199">
        <v>0</v>
      </c>
      <c r="K317" s="544">
        <f ca="1">IF(I317&gt;0,J317*100/I317,0)</f>
        <v>0</v>
      </c>
      <c r="L317" s="428"/>
      <c r="M317" s="428"/>
      <c r="N317" s="428"/>
      <c r="O317" s="428"/>
      <c r="P317" s="428"/>
    </row>
    <row r="318" spans="1:16" ht="19.5" x14ac:dyDescent="0.3">
      <c r="A318" s="567" t="s">
        <v>124</v>
      </c>
      <c r="B318" s="566"/>
      <c r="C318" s="566"/>
      <c r="D318" s="565"/>
      <c r="E318" s="566"/>
      <c r="F318" s="566"/>
      <c r="G318" s="566"/>
      <c r="H318" s="565"/>
      <c r="I318" s="564"/>
      <c r="J318" s="564"/>
      <c r="K318" s="563"/>
      <c r="L318" s="563"/>
      <c r="M318" s="563"/>
      <c r="N318" s="563"/>
      <c r="O318" s="563"/>
      <c r="P318" s="563"/>
    </row>
    <row r="319" spans="1:16" ht="19.5" x14ac:dyDescent="0.3">
      <c r="A319" s="573"/>
      <c r="B319" s="558" t="s">
        <v>125</v>
      </c>
      <c r="C319" s="572"/>
      <c r="D319" s="557"/>
      <c r="E319" s="556"/>
      <c r="F319" s="556"/>
      <c r="G319" s="555"/>
      <c r="H319" s="562" t="s">
        <v>126</v>
      </c>
      <c r="I319" s="571">
        <f ca="1">I330</f>
        <v>1</v>
      </c>
      <c r="J319" s="571">
        <f>J330</f>
        <v>0</v>
      </c>
      <c r="K319" s="570">
        <f ca="1">IF(I319&gt;0,J319*100/I319,0)</f>
        <v>0</v>
      </c>
      <c r="L319" s="553"/>
      <c r="M319" s="553"/>
      <c r="N319" s="553"/>
      <c r="O319" s="553"/>
      <c r="P319" s="553"/>
    </row>
    <row r="320" spans="1:16" ht="19.5" x14ac:dyDescent="0.3">
      <c r="A320" s="543"/>
      <c r="B320" s="418"/>
      <c r="C320" s="537" t="s">
        <v>16</v>
      </c>
      <c r="D320" s="552" t="s">
        <v>17</v>
      </c>
      <c r="E320" s="418"/>
      <c r="F320" s="418"/>
      <c r="G320" s="422"/>
      <c r="H320" s="551" t="s">
        <v>12</v>
      </c>
      <c r="I320" s="427"/>
      <c r="J320" s="427"/>
      <c r="K320" s="428"/>
      <c r="L320" s="550">
        <f ca="1">L321+L322</f>
        <v>20000</v>
      </c>
      <c r="M320" s="550">
        <f ca="1">M321+M322</f>
        <v>20000</v>
      </c>
      <c r="N320" s="550">
        <f ca="1">N321+N322</f>
        <v>1320</v>
      </c>
      <c r="O320" s="550">
        <f ca="1">IF(L320&gt;0,N320*100/L320,0)</f>
        <v>6.6</v>
      </c>
      <c r="P320" s="550">
        <f ca="1">IF(M320&gt;0,N320*100/M320,0)</f>
        <v>6.6</v>
      </c>
    </row>
    <row r="321" spans="1:16" ht="18.75" hidden="1" x14ac:dyDescent="0.25">
      <c r="A321" s="543"/>
      <c r="B321" s="418"/>
      <c r="C321" s="418"/>
      <c r="D321" s="418"/>
      <c r="E321" s="546" t="s">
        <v>18</v>
      </c>
      <c r="F321" s="418"/>
      <c r="G321" s="422"/>
      <c r="H321" s="549" t="s">
        <v>12</v>
      </c>
      <c r="I321" s="427"/>
      <c r="J321" s="427"/>
      <c r="K321" s="428"/>
      <c r="L321" s="544">
        <f>L324+L327</f>
        <v>0</v>
      </c>
      <c r="M321" s="544">
        <f>M324+M327</f>
        <v>0</v>
      </c>
      <c r="N321" s="544">
        <f>N324+N327</f>
        <v>0</v>
      </c>
      <c r="O321" s="544">
        <f>IF(L321&gt;0,N321*100/L321,0)</f>
        <v>0</v>
      </c>
      <c r="P321" s="544">
        <f>IF(M321&gt;0,N321*100/M321,0)</f>
        <v>0</v>
      </c>
    </row>
    <row r="322" spans="1:16" ht="18.75" x14ac:dyDescent="0.25">
      <c r="A322" s="543"/>
      <c r="B322" s="418"/>
      <c r="C322" s="418"/>
      <c r="D322" s="418"/>
      <c r="E322" s="293" t="s">
        <v>19</v>
      </c>
      <c r="F322" s="418"/>
      <c r="G322" s="422"/>
      <c r="H322" s="440" t="s">
        <v>12</v>
      </c>
      <c r="I322" s="427"/>
      <c r="J322" s="427"/>
      <c r="K322" s="428"/>
      <c r="L322" s="425">
        <f ca="1">L325+L328</f>
        <v>20000</v>
      </c>
      <c r="M322" s="425">
        <f ca="1">M325+M328</f>
        <v>20000</v>
      </c>
      <c r="N322" s="425">
        <f ca="1">N325+N328</f>
        <v>1320</v>
      </c>
      <c r="O322" s="425">
        <f ca="1">IF(L322&gt;0,N322*100/L322,0)</f>
        <v>6.6</v>
      </c>
      <c r="P322" s="425">
        <f ca="1">IF(M322&gt;0,N322*100/M322,0)</f>
        <v>6.6</v>
      </c>
    </row>
    <row r="323" spans="1:16" ht="18.75" x14ac:dyDescent="0.25">
      <c r="A323" s="543"/>
      <c r="B323" s="418"/>
      <c r="C323" s="418"/>
      <c r="D323" s="547" t="s">
        <v>20</v>
      </c>
      <c r="E323" s="418"/>
      <c r="F323" s="418"/>
      <c r="G323" s="422"/>
      <c r="H323" s="548" t="s">
        <v>12</v>
      </c>
      <c r="I323" s="541"/>
      <c r="J323" s="541"/>
      <c r="K323" s="527"/>
      <c r="L323" s="425">
        <f ca="1">L324+L325</f>
        <v>20000</v>
      </c>
      <c r="M323" s="425">
        <f ca="1">M324+M325</f>
        <v>20000</v>
      </c>
      <c r="N323" s="425">
        <f ca="1">N324+N325</f>
        <v>1320</v>
      </c>
      <c r="O323" s="425">
        <f ca="1">IF(L323&gt;0,N323*100/L323,0)</f>
        <v>6.6</v>
      </c>
      <c r="P323" s="425">
        <f ca="1">IF(M323&gt;0,N323*100/M323,0)</f>
        <v>6.6</v>
      </c>
    </row>
    <row r="324" spans="1:16" ht="18.75" hidden="1" x14ac:dyDescent="0.25">
      <c r="A324" s="543"/>
      <c r="B324" s="418"/>
      <c r="C324" s="418"/>
      <c r="D324" s="418"/>
      <c r="E324" s="546" t="s">
        <v>34</v>
      </c>
      <c r="F324" s="418"/>
      <c r="G324" s="422"/>
      <c r="H324" s="545" t="s">
        <v>12</v>
      </c>
      <c r="I324" s="541"/>
      <c r="J324" s="541"/>
      <c r="K324" s="527"/>
      <c r="L324" s="544">
        <v>0</v>
      </c>
      <c r="M324" s="544">
        <v>0</v>
      </c>
      <c r="N324" s="544">
        <v>0</v>
      </c>
      <c r="O324" s="544">
        <f>IF(L324&gt;0,N324*100/L324,0)</f>
        <v>0</v>
      </c>
      <c r="P324" s="544">
        <f>IF(M324&gt;0,N324*100/M324,0)</f>
        <v>0</v>
      </c>
    </row>
    <row r="325" spans="1:16" ht="18.75" x14ac:dyDescent="0.25">
      <c r="A325" s="543"/>
      <c r="B325" s="418"/>
      <c r="C325" s="418"/>
      <c r="D325" s="418"/>
      <c r="E325" s="293" t="s">
        <v>35</v>
      </c>
      <c r="F325" s="418"/>
      <c r="G325" s="422"/>
      <c r="H325" s="548" t="s">
        <v>12</v>
      </c>
      <c r="I325" s="541"/>
      <c r="J325" s="541"/>
      <c r="K325" s="527"/>
      <c r="L325" s="425">
        <f ca="1">IFERROR(__xludf.DUMMYFUNCTION("IMPORTRANGE(""https://docs.google.com/spreadsheets/d/1-uDff_7J0KD5mKrp0Vvzr7lt3OU09vwQwhkpOPPYv2Y/edit?usp=sharing"",""งบพรบ!EI88"")"),20000)</f>
        <v>20000</v>
      </c>
      <c r="M325" s="425">
        <f ca="1">IFERROR(__xludf.DUMMYFUNCTION("IMPORTRANGE(""https://docs.google.com/spreadsheets/d/1-uDff_7J0KD5mKrp0Vvzr7lt3OU09vwQwhkpOPPYv2Y/edit?usp=sharing"",""งบพรบ!EN88"")"),20000)</f>
        <v>20000</v>
      </c>
      <c r="N325" s="425">
        <f ca="1">IFERROR(__xludf.DUMMYFUNCTION("IMPORTRANGE(""https://docs.google.com/spreadsheets/d/1-uDff_7J0KD5mKrp0Vvzr7lt3OU09vwQwhkpOPPYv2Y/edit?usp=sharing"",""งบพรบ!EP88"")"),1320)</f>
        <v>1320</v>
      </c>
      <c r="O325" s="425">
        <f ca="1">IF(L325&gt;0,N325*100/L325,0)</f>
        <v>6.6</v>
      </c>
      <c r="P325" s="425">
        <f ca="1">IF(M325&gt;0,N325*100/M325,0)</f>
        <v>6.6</v>
      </c>
    </row>
    <row r="326" spans="1:16" ht="18.75" x14ac:dyDescent="0.25">
      <c r="A326" s="543"/>
      <c r="B326" s="418"/>
      <c r="C326" s="418"/>
      <c r="D326" s="547" t="s">
        <v>21</v>
      </c>
      <c r="E326" s="418"/>
      <c r="F326" s="418"/>
      <c r="G326" s="422"/>
      <c r="H326" s="542" t="s">
        <v>12</v>
      </c>
      <c r="I326" s="541"/>
      <c r="J326" s="541"/>
      <c r="K326" s="527"/>
      <c r="L326" s="425">
        <f ca="1">L327+L328</f>
        <v>0</v>
      </c>
      <c r="M326" s="425">
        <f ca="1">M327+M328</f>
        <v>0</v>
      </c>
      <c r="N326" s="425">
        <f ca="1">N327+N328</f>
        <v>0</v>
      </c>
      <c r="O326" s="425">
        <f ca="1">IF(L326&gt;0,N326*100/L326,0)</f>
        <v>0</v>
      </c>
      <c r="P326" s="425">
        <f ca="1">IF(M326&gt;0,N326*100/M326,0)</f>
        <v>0</v>
      </c>
    </row>
    <row r="327" spans="1:16" ht="18.75" hidden="1" x14ac:dyDescent="0.25">
      <c r="A327" s="543"/>
      <c r="B327" s="418"/>
      <c r="C327" s="418"/>
      <c r="D327" s="418"/>
      <c r="E327" s="546" t="s">
        <v>18</v>
      </c>
      <c r="F327" s="418"/>
      <c r="G327" s="422"/>
      <c r="H327" s="545" t="s">
        <v>12</v>
      </c>
      <c r="I327" s="541"/>
      <c r="J327" s="541"/>
      <c r="K327" s="527"/>
      <c r="L327" s="544">
        <v>0</v>
      </c>
      <c r="M327" s="544">
        <v>0</v>
      </c>
      <c r="N327" s="544">
        <v>0</v>
      </c>
      <c r="O327" s="544">
        <f>IF(L327&gt;0,N327*100/L327,0)</f>
        <v>0</v>
      </c>
      <c r="P327" s="544">
        <f>IF(M327&gt;0,N327*100/M327,0)</f>
        <v>0</v>
      </c>
    </row>
    <row r="328" spans="1:16" ht="18.75" x14ac:dyDescent="0.25">
      <c r="A328" s="543"/>
      <c r="B328" s="418"/>
      <c r="C328" s="418"/>
      <c r="D328" s="418"/>
      <c r="E328" s="293" t="s">
        <v>19</v>
      </c>
      <c r="F328" s="418"/>
      <c r="G328" s="422"/>
      <c r="H328" s="542" t="s">
        <v>12</v>
      </c>
      <c r="I328" s="541"/>
      <c r="J328" s="541"/>
      <c r="K328" s="527"/>
      <c r="L328" s="425">
        <f ca="1">IFERROR(__xludf.DUMMYFUNCTION("IMPORTRANGE(""https://docs.google.com/spreadsheets/d/1-uDff_7J0KD5mKrp0Vvzr7lt3OU09vwQwhkpOPPYv2Y/edit?usp=sharing"",""งบพรบ!EL88"")"),0)</f>
        <v>0</v>
      </c>
      <c r="M328" s="425">
        <f ca="1">IFERROR(__xludf.DUMMYFUNCTION("IMPORTRANGE(""https://docs.google.com/spreadsheets/d/1-uDff_7J0KD5mKrp0Vvzr7lt3OU09vwQwhkpOPPYv2Y/edit?usp=sharing"",""งบพรบ!EO88"")"),0)</f>
        <v>0</v>
      </c>
      <c r="N328" s="425">
        <f ca="1">IFERROR(__xludf.DUMMYFUNCTION("IMPORTRANGE(""https://docs.google.com/spreadsheets/d/1-uDff_7J0KD5mKrp0Vvzr7lt3OU09vwQwhkpOPPYv2Y/edit?usp=sharing"",""งบพรบ!EQ88"")"),0)</f>
        <v>0</v>
      </c>
      <c r="O328" s="425">
        <f ca="1">IF(L328&gt;0,N328*100/L328,0)</f>
        <v>0</v>
      </c>
      <c r="P328" s="425">
        <f ca="1">IF(M328&gt;0,N328*100/M328,0)</f>
        <v>0</v>
      </c>
    </row>
    <row r="329" spans="1:16" ht="19.5" x14ac:dyDescent="0.3">
      <c r="A329" s="531"/>
      <c r="B329" s="430"/>
      <c r="C329" s="537" t="s">
        <v>16</v>
      </c>
      <c r="D329" s="536" t="s">
        <v>36</v>
      </c>
      <c r="E329" s="535"/>
      <c r="F329" s="535"/>
      <c r="G329" s="534"/>
      <c r="H329" s="530"/>
      <c r="I329" s="541"/>
      <c r="J329" s="427"/>
      <c r="K329" s="428"/>
      <c r="L329" s="428"/>
      <c r="M329" s="428"/>
      <c r="N329" s="428"/>
      <c r="O329" s="527"/>
      <c r="P329" s="527"/>
    </row>
    <row r="330" spans="1:16" ht="18.75" x14ac:dyDescent="0.25">
      <c r="A330" s="531"/>
      <c r="B330" s="430"/>
      <c r="C330" s="430"/>
      <c r="D330" s="532" t="s">
        <v>127</v>
      </c>
      <c r="E330" s="420"/>
      <c r="F330" s="420"/>
      <c r="G330" s="530"/>
      <c r="H330" s="569" t="s">
        <v>126</v>
      </c>
      <c r="I330" s="424">
        <f ca="1">IFERROR(__xludf.DUMMYFUNCTION("IMPORTRANGE(""https://docs.google.com/spreadsheets/d/1eHaY18a8A9IcSdp1K8H6x8fbOy06t2VsZHhMHf-1x7Y/edit?usp=sharing"",""แผน!EJ88"")"),1)</f>
        <v>1</v>
      </c>
      <c r="J330" s="568">
        <v>0</v>
      </c>
      <c r="K330" s="425">
        <f ca="1">IF(I330&gt;0,J330*100/I330,0)</f>
        <v>0</v>
      </c>
      <c r="L330" s="428"/>
      <c r="M330" s="428"/>
      <c r="N330" s="428"/>
      <c r="O330" s="527"/>
      <c r="P330" s="527"/>
    </row>
    <row r="331" spans="1:16" ht="19.5" x14ac:dyDescent="0.3">
      <c r="A331" s="567" t="s">
        <v>128</v>
      </c>
      <c r="B331" s="566"/>
      <c r="C331" s="566"/>
      <c r="D331" s="565"/>
      <c r="E331" s="566"/>
      <c r="F331" s="566"/>
      <c r="G331" s="566"/>
      <c r="H331" s="565"/>
      <c r="I331" s="564"/>
      <c r="J331" s="564"/>
      <c r="K331" s="563"/>
      <c r="L331" s="563"/>
      <c r="M331" s="563"/>
      <c r="N331" s="563"/>
      <c r="O331" s="563"/>
      <c r="P331" s="563"/>
    </row>
    <row r="332" spans="1:16" ht="19.5" x14ac:dyDescent="0.3">
      <c r="A332" s="559"/>
      <c r="B332" s="558" t="s">
        <v>129</v>
      </c>
      <c r="C332" s="557"/>
      <c r="D332" s="556"/>
      <c r="E332" s="556"/>
      <c r="F332" s="556"/>
      <c r="G332" s="555"/>
      <c r="H332" s="562" t="s">
        <v>33</v>
      </c>
      <c r="I332" s="401">
        <f ca="1">I344</f>
        <v>3200</v>
      </c>
      <c r="J332" s="402">
        <f ca="1">J344+J347+J348+J349+J353</f>
        <v>4698</v>
      </c>
      <c r="K332" s="403">
        <f ca="1">IF(I332&gt;0,J332*100/I332,0)</f>
        <v>146.8125</v>
      </c>
      <c r="L332" s="553"/>
      <c r="M332" s="553"/>
      <c r="N332" s="553"/>
      <c r="O332" s="553"/>
      <c r="P332" s="553"/>
    </row>
    <row r="333" spans="1:16" ht="19.5" x14ac:dyDescent="0.3">
      <c r="A333" s="543"/>
      <c r="B333" s="418"/>
      <c r="C333" s="537" t="s">
        <v>16</v>
      </c>
      <c r="D333" s="552" t="s">
        <v>17</v>
      </c>
      <c r="E333" s="418"/>
      <c r="F333" s="418"/>
      <c r="G333" s="422"/>
      <c r="H333" s="551" t="s">
        <v>12</v>
      </c>
      <c r="I333" s="427"/>
      <c r="J333" s="427"/>
      <c r="K333" s="428"/>
      <c r="L333" s="550">
        <f ca="1">L334+L335</f>
        <v>113000</v>
      </c>
      <c r="M333" s="550">
        <f ca="1">M334+M335</f>
        <v>88150</v>
      </c>
      <c r="N333" s="550">
        <f ca="1">N334+N335</f>
        <v>31590</v>
      </c>
      <c r="O333" s="550">
        <f ca="1">IF(L333&gt;0,N333*100/L333,0)</f>
        <v>27.955752212389381</v>
      </c>
      <c r="P333" s="550">
        <f ca="1">IF(M333&gt;0,N333*100/M333,0)</f>
        <v>35.836642087351109</v>
      </c>
    </row>
    <row r="334" spans="1:16" ht="18.75" hidden="1" x14ac:dyDescent="0.25">
      <c r="A334" s="543"/>
      <c r="B334" s="418"/>
      <c r="C334" s="418"/>
      <c r="D334" s="418"/>
      <c r="E334" s="546" t="s">
        <v>18</v>
      </c>
      <c r="F334" s="418"/>
      <c r="G334" s="422"/>
      <c r="H334" s="549" t="s">
        <v>12</v>
      </c>
      <c r="I334" s="427"/>
      <c r="J334" s="427"/>
      <c r="K334" s="428"/>
      <c r="L334" s="544">
        <f>L337+L340</f>
        <v>0</v>
      </c>
      <c r="M334" s="544">
        <f>M337+M340</f>
        <v>0</v>
      </c>
      <c r="N334" s="544">
        <f>N337+N340</f>
        <v>0</v>
      </c>
      <c r="O334" s="544">
        <f>IF(L334&gt;0,N334*100/L334,0)</f>
        <v>0</v>
      </c>
      <c r="P334" s="544">
        <f>IF(M334&gt;0,N334*100/M334,0)</f>
        <v>0</v>
      </c>
    </row>
    <row r="335" spans="1:16" ht="18.75" x14ac:dyDescent="0.25">
      <c r="A335" s="543"/>
      <c r="B335" s="418"/>
      <c r="C335" s="418"/>
      <c r="D335" s="418"/>
      <c r="E335" s="293" t="s">
        <v>19</v>
      </c>
      <c r="F335" s="418"/>
      <c r="G335" s="422"/>
      <c r="H335" s="440" t="s">
        <v>12</v>
      </c>
      <c r="I335" s="427"/>
      <c r="J335" s="427"/>
      <c r="K335" s="428"/>
      <c r="L335" s="425">
        <f ca="1">L338+L341</f>
        <v>113000</v>
      </c>
      <c r="M335" s="425">
        <f ca="1">M338+M341</f>
        <v>88150</v>
      </c>
      <c r="N335" s="425">
        <f ca="1">N338+N341</f>
        <v>31590</v>
      </c>
      <c r="O335" s="425">
        <f ca="1">IF(L335&gt;0,N335*100/L335,0)</f>
        <v>27.955752212389381</v>
      </c>
      <c r="P335" s="425">
        <f ca="1">IF(M335&gt;0,N335*100/M335,0)</f>
        <v>35.836642087351109</v>
      </c>
    </row>
    <row r="336" spans="1:16" ht="18.75" x14ac:dyDescent="0.25">
      <c r="A336" s="543"/>
      <c r="B336" s="418"/>
      <c r="C336" s="418"/>
      <c r="D336" s="547" t="s">
        <v>20</v>
      </c>
      <c r="E336" s="418"/>
      <c r="F336" s="418"/>
      <c r="G336" s="422"/>
      <c r="H336" s="548" t="s">
        <v>12</v>
      </c>
      <c r="I336" s="541"/>
      <c r="J336" s="541"/>
      <c r="K336" s="527"/>
      <c r="L336" s="425">
        <f ca="1">L337+L338</f>
        <v>113000</v>
      </c>
      <c r="M336" s="425">
        <f ca="1">M337+M338</f>
        <v>88150</v>
      </c>
      <c r="N336" s="425">
        <f ca="1">N337+N338</f>
        <v>31590</v>
      </c>
      <c r="O336" s="425">
        <f ca="1">IF(L336&gt;0,N336*100/L336,0)</f>
        <v>27.955752212389381</v>
      </c>
      <c r="P336" s="425">
        <f ca="1">IF(M336&gt;0,N336*100/M336,0)</f>
        <v>35.836642087351109</v>
      </c>
    </row>
    <row r="337" spans="1:16" ht="18.75" hidden="1" x14ac:dyDescent="0.25">
      <c r="A337" s="543"/>
      <c r="B337" s="418"/>
      <c r="C337" s="418"/>
      <c r="D337" s="418"/>
      <c r="E337" s="546" t="s">
        <v>34</v>
      </c>
      <c r="F337" s="418"/>
      <c r="G337" s="422"/>
      <c r="H337" s="545" t="s">
        <v>12</v>
      </c>
      <c r="I337" s="541"/>
      <c r="J337" s="541"/>
      <c r="K337" s="527"/>
      <c r="L337" s="544">
        <v>0</v>
      </c>
      <c r="M337" s="544">
        <v>0</v>
      </c>
      <c r="N337" s="544">
        <v>0</v>
      </c>
      <c r="O337" s="544">
        <f>IF(L337&gt;0,N337*100/L337,0)</f>
        <v>0</v>
      </c>
      <c r="P337" s="544">
        <f>IF(M337&gt;0,N337*100/M337,0)</f>
        <v>0</v>
      </c>
    </row>
    <row r="338" spans="1:16" ht="18.75" x14ac:dyDescent="0.25">
      <c r="A338" s="543"/>
      <c r="B338" s="418"/>
      <c r="C338" s="418"/>
      <c r="D338" s="418"/>
      <c r="E338" s="293" t="s">
        <v>35</v>
      </c>
      <c r="F338" s="418"/>
      <c r="G338" s="422"/>
      <c r="H338" s="548" t="s">
        <v>12</v>
      </c>
      <c r="I338" s="541"/>
      <c r="J338" s="541"/>
      <c r="K338" s="527"/>
      <c r="L338" s="425">
        <f ca="1">IFERROR(__xludf.DUMMYFUNCTION("IMPORTRANGE(""https://docs.google.com/spreadsheets/d/1-uDff_7J0KD5mKrp0Vvzr7lt3OU09vwQwhkpOPPYv2Y/edit?usp=sharing"",""งบพรบ!ES88"")"),113000)</f>
        <v>113000</v>
      </c>
      <c r="M338" s="425">
        <f ca="1">IFERROR(__xludf.DUMMYFUNCTION("IMPORTRANGE(""https://docs.google.com/spreadsheets/d/1-uDff_7J0KD5mKrp0Vvzr7lt3OU09vwQwhkpOPPYv2Y/edit?usp=sharing"",""งบพรบ!EX88"")"),88150)</f>
        <v>88150</v>
      </c>
      <c r="N338" s="425">
        <f ca="1">IFERROR(__xludf.DUMMYFUNCTION("IMPORTRANGE(""https://docs.google.com/spreadsheets/d/1-uDff_7J0KD5mKrp0Vvzr7lt3OU09vwQwhkpOPPYv2Y/edit?usp=sharing"",""งบพรบ!EZ88"")"),31590)</f>
        <v>31590</v>
      </c>
      <c r="O338" s="425">
        <f ca="1">IF(L338&gt;0,N338*100/L338,0)</f>
        <v>27.955752212389381</v>
      </c>
      <c r="P338" s="425">
        <f ca="1">IF(M338&gt;0,N338*100/M338,0)</f>
        <v>35.836642087351109</v>
      </c>
    </row>
    <row r="339" spans="1:16" ht="18.75" x14ac:dyDescent="0.25">
      <c r="A339" s="543"/>
      <c r="B339" s="418"/>
      <c r="C339" s="418"/>
      <c r="D339" s="547" t="s">
        <v>21</v>
      </c>
      <c r="E339" s="418"/>
      <c r="F339" s="418"/>
      <c r="G339" s="422"/>
      <c r="H339" s="542" t="s">
        <v>12</v>
      </c>
      <c r="I339" s="541"/>
      <c r="J339" s="541"/>
      <c r="K339" s="527"/>
      <c r="L339" s="425">
        <f ca="1">L340+L341</f>
        <v>0</v>
      </c>
      <c r="M339" s="425">
        <f ca="1">M340+M341</f>
        <v>0</v>
      </c>
      <c r="N339" s="425">
        <f ca="1">N340+N341</f>
        <v>0</v>
      </c>
      <c r="O339" s="425">
        <f ca="1">IF(L339&gt;0,N339*100/L339,0)</f>
        <v>0</v>
      </c>
      <c r="P339" s="425">
        <f ca="1">IF(M339&gt;0,N339*100/M339,0)</f>
        <v>0</v>
      </c>
    </row>
    <row r="340" spans="1:16" ht="18.75" hidden="1" x14ac:dyDescent="0.25">
      <c r="A340" s="543"/>
      <c r="B340" s="418"/>
      <c r="C340" s="418"/>
      <c r="D340" s="418"/>
      <c r="E340" s="546" t="s">
        <v>18</v>
      </c>
      <c r="F340" s="418"/>
      <c r="G340" s="422"/>
      <c r="H340" s="545" t="s">
        <v>12</v>
      </c>
      <c r="I340" s="541"/>
      <c r="J340" s="541"/>
      <c r="K340" s="527"/>
      <c r="L340" s="544">
        <v>0</v>
      </c>
      <c r="M340" s="544">
        <v>0</v>
      </c>
      <c r="N340" s="544">
        <v>0</v>
      </c>
      <c r="O340" s="544">
        <f>IF(L340&gt;0,N340*100/L340,0)</f>
        <v>0</v>
      </c>
      <c r="P340" s="544">
        <f>IF(M340&gt;0,N340*100/M340,0)</f>
        <v>0</v>
      </c>
    </row>
    <row r="341" spans="1:16" ht="18.75" x14ac:dyDescent="0.25">
      <c r="A341" s="543"/>
      <c r="B341" s="418"/>
      <c r="C341" s="418"/>
      <c r="D341" s="418"/>
      <c r="E341" s="293" t="s">
        <v>19</v>
      </c>
      <c r="F341" s="418"/>
      <c r="G341" s="422"/>
      <c r="H341" s="542" t="s">
        <v>12</v>
      </c>
      <c r="I341" s="541"/>
      <c r="J341" s="541"/>
      <c r="K341" s="527"/>
      <c r="L341" s="425">
        <f ca="1">IFERROR(__xludf.DUMMYFUNCTION("IMPORTRANGE(""https://docs.google.com/spreadsheets/d/1-uDff_7J0KD5mKrp0Vvzr7lt3OU09vwQwhkpOPPYv2Y/edit?usp=sharing"",""งบพรบ!EV88"")"),0)</f>
        <v>0</v>
      </c>
      <c r="M341" s="425">
        <f ca="1">IFERROR(__xludf.DUMMYFUNCTION("IMPORTRANGE(""https://docs.google.com/spreadsheets/d/1-uDff_7J0KD5mKrp0Vvzr7lt3OU09vwQwhkpOPPYv2Y/edit?usp=sharing"",""งบพรบ!EY88"")"),0)</f>
        <v>0</v>
      </c>
      <c r="N341" s="425">
        <f ca="1">IFERROR(__xludf.DUMMYFUNCTION("IMPORTRANGE(""https://docs.google.com/spreadsheets/d/1-uDff_7J0KD5mKrp0Vvzr7lt3OU09vwQwhkpOPPYv2Y/edit?usp=sharing"",""งบพรบ!FA88"")"),0)</f>
        <v>0</v>
      </c>
      <c r="O341" s="425">
        <f ca="1">IF(L341&gt;0,N341*100/L341,0)</f>
        <v>0</v>
      </c>
      <c r="P341" s="425">
        <f ca="1">IF(M341&gt;0,N341*100/M341,0)</f>
        <v>0</v>
      </c>
    </row>
    <row r="342" spans="1:16" ht="19.5" x14ac:dyDescent="0.3">
      <c r="A342" s="531"/>
      <c r="B342" s="430"/>
      <c r="C342" s="537" t="s">
        <v>16</v>
      </c>
      <c r="D342" s="561" t="s">
        <v>36</v>
      </c>
      <c r="E342" s="535"/>
      <c r="F342" s="535"/>
      <c r="G342" s="534"/>
      <c r="H342" s="422"/>
      <c r="I342" s="427"/>
      <c r="J342" s="427"/>
      <c r="K342" s="428"/>
      <c r="L342" s="428"/>
      <c r="M342" s="428"/>
      <c r="N342" s="428"/>
      <c r="O342" s="527"/>
      <c r="P342" s="527"/>
    </row>
    <row r="343" spans="1:16" ht="19.5" x14ac:dyDescent="0.3">
      <c r="A343" s="408"/>
      <c r="B343" s="409"/>
      <c r="C343" s="410"/>
      <c r="D343" s="409"/>
      <c r="E343" s="411" t="s">
        <v>130</v>
      </c>
      <c r="F343" s="409"/>
      <c r="G343" s="412"/>
      <c r="H343" s="413" t="s">
        <v>33</v>
      </c>
      <c r="I343" s="414">
        <v>0</v>
      </c>
      <c r="J343" s="414">
        <f ca="1">J344+J347+J348+J349</f>
        <v>3453</v>
      </c>
      <c r="K343" s="415">
        <v>0</v>
      </c>
      <c r="L343" s="560"/>
      <c r="M343" s="560"/>
      <c r="N343" s="560"/>
      <c r="O343" s="560"/>
      <c r="P343" s="560"/>
    </row>
    <row r="344" spans="1:16" ht="18.75" x14ac:dyDescent="0.25">
      <c r="A344" s="417"/>
      <c r="B344" s="418"/>
      <c r="C344" s="419"/>
      <c r="D344" s="420"/>
      <c r="E344" s="421" t="s">
        <v>131</v>
      </c>
      <c r="F344" s="418"/>
      <c r="G344" s="422"/>
      <c r="H344" s="423" t="s">
        <v>33</v>
      </c>
      <c r="I344" s="424">
        <f ca="1">IFERROR(__xludf.DUMMYFUNCTION("IMPORTRANGE(""https://docs.google.com/spreadsheets/d/1eHaY18a8A9IcSdp1K8H6x8fbOy06t2VsZHhMHf-1x7Y/edit?usp=sharing"",""แผน!EK88"")"),3200)</f>
        <v>3200</v>
      </c>
      <c r="J344" s="424">
        <f ca="1">IFERROR(__xludf.DUMMYFUNCTION("IMPORTRANGE(""https://docs.google.com/spreadsheets/d/1awYsYK3VOup2i3Pq_Yjnu8DRu_mYwSBnCR2QPthd0rU/edit?usp=sharing"",""ศูนย์ยกเว้นโฉนด!D88"")"),3449)</f>
        <v>3449</v>
      </c>
      <c r="K344" s="425">
        <f ca="1">IF(I344&gt;0,J344*100/I344,0)</f>
        <v>107.78125</v>
      </c>
      <c r="L344" s="428"/>
      <c r="M344" s="428"/>
      <c r="N344" s="428"/>
      <c r="O344" s="428"/>
      <c r="P344" s="428"/>
    </row>
    <row r="345" spans="1:16" ht="18.75" x14ac:dyDescent="0.25">
      <c r="A345" s="417"/>
      <c r="B345" s="418"/>
      <c r="C345" s="419"/>
      <c r="D345" s="420"/>
      <c r="E345" s="421" t="s">
        <v>132</v>
      </c>
      <c r="F345" s="418"/>
      <c r="G345" s="422"/>
      <c r="H345" s="426"/>
      <c r="I345" s="427"/>
      <c r="J345" s="427"/>
      <c r="K345" s="428"/>
      <c r="L345" s="428"/>
      <c r="M345" s="428"/>
      <c r="N345" s="428"/>
      <c r="O345" s="428"/>
      <c r="P345" s="428"/>
    </row>
    <row r="346" spans="1:16" ht="18.75" x14ac:dyDescent="0.25">
      <c r="A346" s="417"/>
      <c r="B346" s="418"/>
      <c r="C346" s="419"/>
      <c r="D346" s="420"/>
      <c r="E346" s="420"/>
      <c r="F346" s="421" t="s">
        <v>133</v>
      </c>
      <c r="G346" s="422"/>
      <c r="H346" s="429" t="s">
        <v>134</v>
      </c>
      <c r="I346" s="424">
        <f ca="1">IFERROR(__xludf.DUMMYFUNCTION("IMPORTRANGE(""https://docs.google.com/spreadsheets/d/1eHaY18a8A9IcSdp1K8H6x8fbOy06t2VsZHhMHf-1x7Y/edit?usp=sharing"",""แผน!EL88"")"),5)</f>
        <v>5</v>
      </c>
      <c r="J346" s="424">
        <f ca="1">IFERROR(__xludf.DUMMYFUNCTION("IMPORTRANGE(""https://docs.google.com/spreadsheets/d/1awYsYK3VOup2i3Pq_Yjnu8DRu_mYwSBnCR2QPthd0rU/edit?usp=sharing"",""ศูนย์รวม!E88"")"),0)</f>
        <v>0</v>
      </c>
      <c r="K346" s="425">
        <f ca="1">IF(I346&gt;0,J346*100/I346,0)</f>
        <v>0</v>
      </c>
      <c r="L346" s="428"/>
      <c r="M346" s="428"/>
      <c r="N346" s="428"/>
      <c r="O346" s="428"/>
      <c r="P346" s="428"/>
    </row>
    <row r="347" spans="1:16" ht="18.75" x14ac:dyDescent="0.25">
      <c r="A347" s="417"/>
      <c r="B347" s="418"/>
      <c r="C347" s="419"/>
      <c r="D347" s="420"/>
      <c r="E347" s="420"/>
      <c r="F347" s="421" t="s">
        <v>135</v>
      </c>
      <c r="G347" s="422"/>
      <c r="H347" s="429" t="s">
        <v>33</v>
      </c>
      <c r="I347" s="427"/>
      <c r="J347" s="424">
        <f ca="1">IFERROR(__xludf.DUMMYFUNCTION("IMPORTRANGE(""https://docs.google.com/spreadsheets/d/1awYsYK3VOup2i3Pq_Yjnu8DRu_mYwSBnCR2QPthd0rU/edit?usp=sharing"",""ศูนย์ยกเว้นโฉนด!F88"")"),0)</f>
        <v>0</v>
      </c>
      <c r="K347" s="428"/>
      <c r="L347" s="428"/>
      <c r="M347" s="428"/>
      <c r="N347" s="428"/>
      <c r="O347" s="428"/>
      <c r="P347" s="428"/>
    </row>
    <row r="348" spans="1:16" ht="18.75" x14ac:dyDescent="0.25">
      <c r="A348" s="417"/>
      <c r="B348" s="418"/>
      <c r="C348" s="419"/>
      <c r="D348" s="420"/>
      <c r="E348" s="421" t="s">
        <v>136</v>
      </c>
      <c r="F348" s="420"/>
      <c r="G348" s="422"/>
      <c r="H348" s="429" t="s">
        <v>33</v>
      </c>
      <c r="I348" s="427"/>
      <c r="J348" s="424">
        <f ca="1">IFERROR(__xludf.DUMMYFUNCTION("IMPORTRANGE(""https://docs.google.com/spreadsheets/d/1awYsYK3VOup2i3Pq_Yjnu8DRu_mYwSBnCR2QPthd0rU/edit?usp=sharing"",""ศูนย์ยกเว้นโฉนด!G88"")"),2)</f>
        <v>2</v>
      </c>
      <c r="K348" s="428"/>
      <c r="L348" s="428"/>
      <c r="M348" s="428"/>
      <c r="N348" s="428"/>
      <c r="O348" s="428"/>
      <c r="P348" s="428"/>
    </row>
    <row r="349" spans="1:16" ht="18.75" x14ac:dyDescent="0.25">
      <c r="A349" s="417"/>
      <c r="B349" s="418"/>
      <c r="C349" s="419"/>
      <c r="D349" s="430"/>
      <c r="E349" s="421" t="s">
        <v>137</v>
      </c>
      <c r="F349" s="420"/>
      <c r="G349" s="422"/>
      <c r="H349" s="429" t="s">
        <v>33</v>
      </c>
      <c r="I349" s="427"/>
      <c r="J349" s="424">
        <f ca="1">IFERROR(__xludf.DUMMYFUNCTION("IMPORTRANGE(""https://docs.google.com/spreadsheets/d/1awYsYK3VOup2i3Pq_Yjnu8DRu_mYwSBnCR2QPthd0rU/edit?usp=sharing"",""ศูนย์ยกเว้นโฉนด!H88"")"),2)</f>
        <v>2</v>
      </c>
      <c r="K349" s="428"/>
      <c r="L349" s="428"/>
      <c r="M349" s="428"/>
      <c r="N349" s="428"/>
      <c r="O349" s="428"/>
      <c r="P349" s="428"/>
    </row>
    <row r="350" spans="1:16" ht="16.5" x14ac:dyDescent="0.25">
      <c r="A350" s="419"/>
      <c r="B350" s="418"/>
      <c r="C350" s="419"/>
      <c r="D350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18"/>
      <c r="F350" s="418"/>
      <c r="G350" s="422"/>
      <c r="H350" s="426"/>
      <c r="I350" s="427"/>
      <c r="J350" s="427"/>
      <c r="K350" s="428"/>
      <c r="L350" s="428"/>
      <c r="M350" s="428"/>
      <c r="N350" s="428"/>
      <c r="O350" s="428"/>
      <c r="P350" s="428"/>
    </row>
    <row r="351" spans="1:16" ht="19.5" x14ac:dyDescent="0.3">
      <c r="A351" s="432"/>
      <c r="B351" s="433"/>
      <c r="C351" s="434"/>
      <c r="D351" s="433"/>
      <c r="E351" s="540" t="s">
        <v>138</v>
      </c>
      <c r="F351" s="433"/>
      <c r="G351" s="436"/>
      <c r="H351" s="437" t="s">
        <v>33</v>
      </c>
      <c r="I351" s="438">
        <v>0</v>
      </c>
      <c r="J351" s="438">
        <f ca="1">J352+J353</f>
        <v>2735</v>
      </c>
      <c r="K351" s="439">
        <v>0</v>
      </c>
      <c r="L351" s="538"/>
      <c r="M351" s="538"/>
      <c r="N351" s="538"/>
      <c r="O351" s="538"/>
      <c r="P351" s="538"/>
    </row>
    <row r="352" spans="1:16" ht="18.75" x14ac:dyDescent="0.25">
      <c r="A352" s="419"/>
      <c r="B352" s="418"/>
      <c r="C352" s="419"/>
      <c r="D352" s="420"/>
      <c r="E352" s="421" t="s">
        <v>139</v>
      </c>
      <c r="F352" s="418"/>
      <c r="G352" s="422"/>
      <c r="H352" s="440" t="s">
        <v>33</v>
      </c>
      <c r="I352" s="427"/>
      <c r="J352" s="424">
        <f ca="1">IFERROR(__xludf.DUMMYFUNCTION("IMPORTRANGE(""https://docs.google.com/spreadsheets/d/1awYsYK3VOup2i3Pq_Yjnu8DRu_mYwSBnCR2QPthd0rU/edit?usp=sharing"",""โฉนดM3!G88"")"),1490)</f>
        <v>1490</v>
      </c>
      <c r="K352" s="428"/>
      <c r="L352" s="428"/>
      <c r="M352" s="428"/>
      <c r="N352" s="428"/>
      <c r="O352" s="428"/>
      <c r="P352" s="428"/>
    </row>
    <row r="353" spans="1:16" ht="18.75" x14ac:dyDescent="0.25">
      <c r="A353" s="419"/>
      <c r="B353" s="418"/>
      <c r="C353" s="419"/>
      <c r="D353" s="420"/>
      <c r="E353" s="421" t="s">
        <v>140</v>
      </c>
      <c r="F353" s="418"/>
      <c r="G353" s="422"/>
      <c r="H353" s="440" t="s">
        <v>33</v>
      </c>
      <c r="I353" s="427"/>
      <c r="J353" s="424">
        <f ca="1">IFERROR(__xludf.DUMMYFUNCTION("IMPORTRANGE(""https://docs.google.com/spreadsheets/d/1awYsYK3VOup2i3Pq_Yjnu8DRu_mYwSBnCR2QPthd0rU/edit?usp=sharing"",""โฉนดM3!H88"")"),1245)</f>
        <v>1245</v>
      </c>
      <c r="K353" s="428"/>
      <c r="L353" s="428"/>
      <c r="M353" s="428"/>
      <c r="N353" s="428"/>
      <c r="O353" s="428"/>
      <c r="P353" s="428"/>
    </row>
    <row r="354" spans="1:16" ht="16.5" x14ac:dyDescent="0.25">
      <c r="A354" s="419"/>
      <c r="B354" s="418"/>
      <c r="C354" s="419"/>
      <c r="D354" s="4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18"/>
      <c r="F354" s="418"/>
      <c r="G354" s="422"/>
      <c r="H354" s="426"/>
      <c r="I354" s="427"/>
      <c r="J354" s="427"/>
      <c r="K354" s="428"/>
      <c r="L354" s="428"/>
      <c r="M354" s="428"/>
      <c r="N354" s="428"/>
      <c r="O354" s="428"/>
      <c r="P354" s="428"/>
    </row>
    <row r="355" spans="1:16" ht="19.5" x14ac:dyDescent="0.3">
      <c r="A355" s="559"/>
      <c r="B355" s="558" t="s">
        <v>141</v>
      </c>
      <c r="C355" s="557"/>
      <c r="D355" s="556"/>
      <c r="E355" s="556"/>
      <c r="F355" s="556"/>
      <c r="G355" s="555"/>
      <c r="H355" s="555"/>
      <c r="I355" s="554"/>
      <c r="J355" s="554"/>
      <c r="K355" s="553"/>
      <c r="L355" s="553"/>
      <c r="M355" s="553"/>
      <c r="N355" s="553"/>
      <c r="O355" s="553"/>
      <c r="P355" s="553"/>
    </row>
    <row r="356" spans="1:16" ht="19.5" x14ac:dyDescent="0.3">
      <c r="A356" s="543"/>
      <c r="B356" s="418"/>
      <c r="C356" s="537" t="s">
        <v>16</v>
      </c>
      <c r="D356" s="552" t="s">
        <v>17</v>
      </c>
      <c r="E356" s="418"/>
      <c r="F356" s="418"/>
      <c r="G356" s="422"/>
      <c r="H356" s="551" t="s">
        <v>12</v>
      </c>
      <c r="I356" s="427"/>
      <c r="J356" s="427"/>
      <c r="K356" s="428"/>
      <c r="L356" s="550">
        <f ca="1">L357+L358</f>
        <v>746400</v>
      </c>
      <c r="M356" s="550">
        <f ca="1">M357+M358</f>
        <v>637400</v>
      </c>
      <c r="N356" s="550">
        <f ca="1">N357+N358</f>
        <v>216846.69</v>
      </c>
      <c r="O356" s="550">
        <f ca="1">IF(L356&gt;0,N356*100/L356,0)</f>
        <v>29.052343247588425</v>
      </c>
      <c r="P356" s="550">
        <f ca="1">IF(M356&gt;0,N356*100/M356,0)</f>
        <v>34.020503608409165</v>
      </c>
    </row>
    <row r="357" spans="1:16" ht="18.75" hidden="1" x14ac:dyDescent="0.25">
      <c r="A357" s="543"/>
      <c r="B357" s="418"/>
      <c r="C357" s="418"/>
      <c r="D357" s="418"/>
      <c r="E357" s="546" t="s">
        <v>18</v>
      </c>
      <c r="F357" s="418"/>
      <c r="G357" s="422"/>
      <c r="H357" s="549" t="s">
        <v>12</v>
      </c>
      <c r="I357" s="427"/>
      <c r="J357" s="427"/>
      <c r="K357" s="428"/>
      <c r="L357" s="544">
        <f>L360+L363</f>
        <v>0</v>
      </c>
      <c r="M357" s="544">
        <f>M360+M363</f>
        <v>0</v>
      </c>
      <c r="N357" s="544">
        <f>N360+N363</f>
        <v>0</v>
      </c>
      <c r="O357" s="544">
        <f>IF(L357&gt;0,N357*100/L357,0)</f>
        <v>0</v>
      </c>
      <c r="P357" s="544">
        <f>IF(M357&gt;0,N357*100/M357,0)</f>
        <v>0</v>
      </c>
    </row>
    <row r="358" spans="1:16" ht="18.75" x14ac:dyDescent="0.25">
      <c r="A358" s="543"/>
      <c r="B358" s="418"/>
      <c r="C358" s="418"/>
      <c r="D358" s="418"/>
      <c r="E358" s="293" t="s">
        <v>19</v>
      </c>
      <c r="F358" s="418"/>
      <c r="G358" s="422"/>
      <c r="H358" s="440" t="s">
        <v>12</v>
      </c>
      <c r="I358" s="427"/>
      <c r="J358" s="427"/>
      <c r="K358" s="428"/>
      <c r="L358" s="425">
        <f ca="1">L361+L364</f>
        <v>746400</v>
      </c>
      <c r="M358" s="425">
        <f ca="1">M361+M364</f>
        <v>637400</v>
      </c>
      <c r="N358" s="425">
        <f ca="1">N361+N364</f>
        <v>216846.69</v>
      </c>
      <c r="O358" s="425">
        <f ca="1">IF(L358&gt;0,N358*100/L358,0)</f>
        <v>29.052343247588425</v>
      </c>
      <c r="P358" s="425">
        <f ca="1">IF(M358&gt;0,N358*100/M358,0)</f>
        <v>34.020503608409165</v>
      </c>
    </row>
    <row r="359" spans="1:16" ht="18.75" x14ac:dyDescent="0.25">
      <c r="A359" s="543"/>
      <c r="B359" s="418"/>
      <c r="C359" s="418"/>
      <c r="D359" s="547" t="s">
        <v>20</v>
      </c>
      <c r="E359" s="418"/>
      <c r="F359" s="418"/>
      <c r="G359" s="422"/>
      <c r="H359" s="548" t="s">
        <v>12</v>
      </c>
      <c r="I359" s="541"/>
      <c r="J359" s="541"/>
      <c r="K359" s="527"/>
      <c r="L359" s="425">
        <f ca="1">L360+L361</f>
        <v>746400</v>
      </c>
      <c r="M359" s="425">
        <f ca="1">M360+M361</f>
        <v>637400</v>
      </c>
      <c r="N359" s="425">
        <f ca="1">N360+N361</f>
        <v>216846.69</v>
      </c>
      <c r="O359" s="425">
        <f ca="1">IF(L359&gt;0,N359*100/L359,0)</f>
        <v>29.052343247588425</v>
      </c>
      <c r="P359" s="425">
        <f ca="1">IF(M359&gt;0,N359*100/M359,0)</f>
        <v>34.020503608409165</v>
      </c>
    </row>
    <row r="360" spans="1:16" ht="18.75" hidden="1" x14ac:dyDescent="0.25">
      <c r="A360" s="543"/>
      <c r="B360" s="418"/>
      <c r="C360" s="418"/>
      <c r="D360" s="418"/>
      <c r="E360" s="546" t="s">
        <v>34</v>
      </c>
      <c r="F360" s="418"/>
      <c r="G360" s="422"/>
      <c r="H360" s="545" t="s">
        <v>12</v>
      </c>
      <c r="I360" s="541"/>
      <c r="J360" s="541"/>
      <c r="K360" s="527"/>
      <c r="L360" s="544">
        <v>0</v>
      </c>
      <c r="M360" s="544">
        <v>0</v>
      </c>
      <c r="N360" s="544">
        <v>0</v>
      </c>
      <c r="O360" s="544">
        <f>IF(L360&gt;0,N360*100/L360,0)</f>
        <v>0</v>
      </c>
      <c r="P360" s="544">
        <f>IF(M360&gt;0,N360*100/M360,0)</f>
        <v>0</v>
      </c>
    </row>
    <row r="361" spans="1:16" ht="18.75" x14ac:dyDescent="0.25">
      <c r="A361" s="543"/>
      <c r="B361" s="418"/>
      <c r="C361" s="418"/>
      <c r="D361" s="418"/>
      <c r="E361" s="293" t="s">
        <v>35</v>
      </c>
      <c r="F361" s="418"/>
      <c r="G361" s="422"/>
      <c r="H361" s="548" t="s">
        <v>12</v>
      </c>
      <c r="I361" s="541"/>
      <c r="J361" s="541"/>
      <c r="K361" s="527"/>
      <c r="L361" s="425">
        <f ca="1">IFERROR(__xludf.DUMMYFUNCTION("IMPORTRANGE(""https://docs.google.com/spreadsheets/d/1-uDff_7J0KD5mKrp0Vvzr7lt3OU09vwQwhkpOPPYv2Y/edit?usp=sharing"",""งบพรบ!FC88"")"),746400)</f>
        <v>746400</v>
      </c>
      <c r="M361" s="425">
        <f ca="1">IFERROR(__xludf.DUMMYFUNCTION("IMPORTRANGE(""https://docs.google.com/spreadsheets/d/1-uDff_7J0KD5mKrp0Vvzr7lt3OU09vwQwhkpOPPYv2Y/edit?usp=sharing"",""งบพรบ!FH88"")"),637400)</f>
        <v>637400</v>
      </c>
      <c r="N361" s="425">
        <f ca="1">IFERROR(__xludf.DUMMYFUNCTION("IMPORTRANGE(""https://docs.google.com/spreadsheets/d/1-uDff_7J0KD5mKrp0Vvzr7lt3OU09vwQwhkpOPPYv2Y/edit?usp=sharing"",""งบพรบ!FJ88"")"),216846.69)</f>
        <v>216846.69</v>
      </c>
      <c r="O361" s="425">
        <f ca="1">IF(L361&gt;0,N361*100/L361,0)</f>
        <v>29.052343247588425</v>
      </c>
      <c r="P361" s="425">
        <f ca="1">IF(M361&gt;0,N361*100/M361,0)</f>
        <v>34.020503608409165</v>
      </c>
    </row>
    <row r="362" spans="1:16" ht="18.75" x14ac:dyDescent="0.25">
      <c r="A362" s="543"/>
      <c r="B362" s="418"/>
      <c r="C362" s="418"/>
      <c r="D362" s="547" t="s">
        <v>21</v>
      </c>
      <c r="E362" s="418"/>
      <c r="F362" s="418"/>
      <c r="G362" s="422"/>
      <c r="H362" s="542" t="s">
        <v>12</v>
      </c>
      <c r="I362" s="541"/>
      <c r="J362" s="541"/>
      <c r="K362" s="527"/>
      <c r="L362" s="425">
        <f ca="1">L363+L364</f>
        <v>0</v>
      </c>
      <c r="M362" s="425">
        <f ca="1">M363+M364</f>
        <v>0</v>
      </c>
      <c r="N362" s="425">
        <f ca="1">N363+N364</f>
        <v>0</v>
      </c>
      <c r="O362" s="425">
        <f ca="1">IF(L362&gt;0,N362*100/L362,0)</f>
        <v>0</v>
      </c>
      <c r="P362" s="425">
        <f ca="1">IF(M362&gt;0,N362*100/M362,0)</f>
        <v>0</v>
      </c>
    </row>
    <row r="363" spans="1:16" ht="18.75" hidden="1" x14ac:dyDescent="0.25">
      <c r="A363" s="543"/>
      <c r="B363" s="418"/>
      <c r="C363" s="418"/>
      <c r="D363" s="418"/>
      <c r="E363" s="546" t="s">
        <v>18</v>
      </c>
      <c r="F363" s="418"/>
      <c r="G363" s="422"/>
      <c r="H363" s="545" t="s">
        <v>12</v>
      </c>
      <c r="I363" s="541"/>
      <c r="J363" s="541"/>
      <c r="K363" s="527"/>
      <c r="L363" s="544">
        <v>0</v>
      </c>
      <c r="M363" s="544">
        <v>0</v>
      </c>
      <c r="N363" s="544">
        <v>0</v>
      </c>
      <c r="O363" s="544">
        <f>IF(L363&gt;0,N363*100/L363,0)</f>
        <v>0</v>
      </c>
      <c r="P363" s="544">
        <f>IF(M363&gt;0,N363*100/M363,0)</f>
        <v>0</v>
      </c>
    </row>
    <row r="364" spans="1:16" ht="18.75" x14ac:dyDescent="0.25">
      <c r="A364" s="543"/>
      <c r="B364" s="418"/>
      <c r="C364" s="418"/>
      <c r="D364" s="418"/>
      <c r="E364" s="293" t="s">
        <v>19</v>
      </c>
      <c r="F364" s="418"/>
      <c r="G364" s="422"/>
      <c r="H364" s="542" t="s">
        <v>12</v>
      </c>
      <c r="I364" s="541"/>
      <c r="J364" s="541"/>
      <c r="K364" s="527"/>
      <c r="L364" s="425">
        <f ca="1">IFERROR(__xludf.DUMMYFUNCTION("IMPORTRANGE(""https://docs.google.com/spreadsheets/d/1-uDff_7J0KD5mKrp0Vvzr7lt3OU09vwQwhkpOPPYv2Y/edit?usp=sharing"",""งบพรบ!FF88"")"),0)</f>
        <v>0</v>
      </c>
      <c r="M364" s="425">
        <f ca="1">IFERROR(__xludf.DUMMYFUNCTION("IMPORTRANGE(""https://docs.google.com/spreadsheets/d/1-uDff_7J0KD5mKrp0Vvzr7lt3OU09vwQwhkpOPPYv2Y/edit?usp=sharing"",""งบพรบ!FI88"")"),0)</f>
        <v>0</v>
      </c>
      <c r="N364" s="425">
        <f ca="1">IFERROR(__xludf.DUMMYFUNCTION("IMPORTRANGE(""https://docs.google.com/spreadsheets/d/1-uDff_7J0KD5mKrp0Vvzr7lt3OU09vwQwhkpOPPYv2Y/edit?usp=sharing"",""งบพรบ!FK88"")"),0)</f>
        <v>0</v>
      </c>
      <c r="O364" s="425">
        <f ca="1">IF(L364&gt;0,N364*100/L364,0)</f>
        <v>0</v>
      </c>
      <c r="P364" s="425">
        <f ca="1">IF(M364&gt;0,N364*100/M364,0)</f>
        <v>0</v>
      </c>
    </row>
    <row r="365" spans="1:16" ht="19.5" x14ac:dyDescent="0.3">
      <c r="A365" s="432"/>
      <c r="B365" s="434"/>
      <c r="C365" s="433"/>
      <c r="D365" s="540" t="s">
        <v>142</v>
      </c>
      <c r="E365" s="433"/>
      <c r="F365" s="433"/>
      <c r="G365" s="436"/>
      <c r="H365" s="539" t="s">
        <v>33</v>
      </c>
      <c r="I365" s="438">
        <f ca="1">I371</f>
        <v>341</v>
      </c>
      <c r="J365" s="438">
        <f ca="1">J371</f>
        <v>583</v>
      </c>
      <c r="K365" s="439">
        <f ca="1">IF(I365&gt;0,J365*100/I365,0)</f>
        <v>170.96774193548387</v>
      </c>
      <c r="L365" s="538"/>
      <c r="M365" s="538"/>
      <c r="N365" s="538"/>
      <c r="O365" s="538"/>
      <c r="P365" s="538"/>
    </row>
    <row r="366" spans="1:16" ht="19.5" x14ac:dyDescent="0.3">
      <c r="A366" s="531"/>
      <c r="B366" s="430"/>
      <c r="C366" s="537" t="s">
        <v>16</v>
      </c>
      <c r="D366" s="536" t="s">
        <v>36</v>
      </c>
      <c r="E366" s="535"/>
      <c r="F366" s="535"/>
      <c r="G366" s="534"/>
      <c r="H366" s="530"/>
      <c r="I366" s="427"/>
      <c r="J366" s="427"/>
      <c r="K366" s="428"/>
      <c r="L366" s="527"/>
      <c r="M366" s="527"/>
      <c r="N366" s="527"/>
      <c r="O366" s="527"/>
      <c r="P366" s="527"/>
    </row>
    <row r="367" spans="1:16" ht="18.75" x14ac:dyDescent="0.25">
      <c r="A367" s="531"/>
      <c r="B367" s="420"/>
      <c r="C367" s="430"/>
      <c r="D367" s="420"/>
      <c r="E367" s="532" t="s">
        <v>143</v>
      </c>
      <c r="F367" s="420"/>
      <c r="G367" s="530"/>
      <c r="H367" s="533" t="s">
        <v>33</v>
      </c>
      <c r="I367" s="424">
        <v>0</v>
      </c>
      <c r="J367" s="424">
        <f ca="1">IFERROR(__xludf.DUMMYFUNCTION("IMPORTRANGE(""https://docs.google.com/spreadsheets/d/1tdoBKaGub7dwA3U6UFTqxio9LNnvDCQjHKmttSEBsFQ/edit?usp=sharing"",""จัดที่ดิน!AB88"")"),9)</f>
        <v>9</v>
      </c>
      <c r="K367" s="425">
        <f>IF(I367&gt;0,J367*100/I367,0)</f>
        <v>0</v>
      </c>
      <c r="L367" s="527"/>
      <c r="M367" s="527"/>
      <c r="N367" s="527"/>
      <c r="O367" s="527"/>
      <c r="P367" s="527"/>
    </row>
    <row r="368" spans="1:16" ht="18.75" x14ac:dyDescent="0.25">
      <c r="A368" s="531"/>
      <c r="B368" s="420"/>
      <c r="C368" s="430"/>
      <c r="D368" s="420"/>
      <c r="E368" s="420"/>
      <c r="F368" s="420"/>
      <c r="G368" s="530"/>
      <c r="H368" s="533" t="s">
        <v>44</v>
      </c>
      <c r="I368" s="424">
        <f ca="1">IFERROR(__xludf.DUMMYFUNCTION("IMPORTRANGE(""https://docs.google.com/spreadsheets/d/1eHaY18a8A9IcSdp1K8H6x8fbOy06t2VsZHhMHf-1x7Y/edit?usp=sharing"",""แผน!EW88"")"),3285)</f>
        <v>3285</v>
      </c>
      <c r="J368" s="528">
        <f ca="1">IFERROR(__xludf.DUMMYFUNCTION("IMPORTRANGE(""https://docs.google.com/spreadsheets/d/1tdoBKaGub7dwA3U6UFTqxio9LNnvDCQjHKmttSEBsFQ/edit?usp=sharing"",""จัดที่ดิน!AC88"")"),80.13)</f>
        <v>80.13</v>
      </c>
      <c r="K368" s="425">
        <f ca="1">IF(I368&gt;0,J368*100/I368,0)</f>
        <v>2.4392694063926941</v>
      </c>
      <c r="L368" s="527"/>
      <c r="M368" s="527"/>
      <c r="N368" s="527"/>
      <c r="O368" s="527"/>
      <c r="P368" s="527"/>
    </row>
    <row r="369" spans="1:16" ht="18.75" x14ac:dyDescent="0.25">
      <c r="A369" s="531"/>
      <c r="B369" s="420"/>
      <c r="C369" s="430"/>
      <c r="D369" s="420"/>
      <c r="E369" s="532" t="s">
        <v>144</v>
      </c>
      <c r="F369" s="420"/>
      <c r="G369" s="530"/>
      <c r="H369" s="529" t="s">
        <v>33</v>
      </c>
      <c r="I369" s="424">
        <f ca="1">IFERROR(__xludf.DUMMYFUNCTION("IMPORTRANGE(""https://docs.google.com/spreadsheets/d/1eHaY18a8A9IcSdp1K8H6x8fbOy06t2VsZHhMHf-1x7Y/edit?usp=sharing"",""แผน!EX88"")"),521)</f>
        <v>521</v>
      </c>
      <c r="J369" s="424">
        <f ca="1">IFERROR(__xludf.DUMMYFUNCTION("IMPORTRANGE(""https://docs.google.com/spreadsheets/d/1tdoBKaGub7dwA3U6UFTqxio9LNnvDCQjHKmttSEBsFQ/edit?usp=sharing"",""จัดที่ดิน!AD88"")"),584)</f>
        <v>584</v>
      </c>
      <c r="K369" s="425">
        <f ca="1">IF(I369&gt;0,J369*100/I369,0)</f>
        <v>112.09213051823417</v>
      </c>
      <c r="L369" s="527"/>
      <c r="M369" s="527"/>
      <c r="N369" s="527"/>
      <c r="O369" s="527"/>
      <c r="P369" s="527"/>
    </row>
    <row r="370" spans="1:16" ht="18.75" x14ac:dyDescent="0.25">
      <c r="A370" s="531"/>
      <c r="B370" s="420"/>
      <c r="C370" s="430"/>
      <c r="D370" s="420"/>
      <c r="E370" s="420"/>
      <c r="F370" s="420"/>
      <c r="G370" s="530"/>
      <c r="H370" s="529" t="s">
        <v>44</v>
      </c>
      <c r="I370" s="424">
        <v>0</v>
      </c>
      <c r="J370" s="528">
        <f ca="1">IFERROR(__xludf.DUMMYFUNCTION("IMPORTRANGE(""https://docs.google.com/spreadsheets/d/1tdoBKaGub7dwA3U6UFTqxio9LNnvDCQjHKmttSEBsFQ/edit?usp=sharing"",""จัดที่ดิน!AE88"")"),8477.68)</f>
        <v>8477.68</v>
      </c>
      <c r="K370" s="425">
        <f>IF(I370&gt;0,J370*100/I370,0)</f>
        <v>0</v>
      </c>
      <c r="L370" s="527"/>
      <c r="M370" s="527"/>
      <c r="N370" s="527"/>
      <c r="O370" s="527"/>
      <c r="P370" s="527"/>
    </row>
    <row r="371" spans="1:16" ht="18.75" x14ac:dyDescent="0.25">
      <c r="A371" s="531"/>
      <c r="B371" s="420"/>
      <c r="C371" s="430"/>
      <c r="D371" s="420"/>
      <c r="E371" s="532" t="s">
        <v>145</v>
      </c>
      <c r="F371" s="420"/>
      <c r="G371" s="530"/>
      <c r="H371" s="529" t="s">
        <v>33</v>
      </c>
      <c r="I371" s="424">
        <f ca="1">IFERROR(__xludf.DUMMYFUNCTION("IMPORTRANGE(""https://docs.google.com/spreadsheets/d/1eHaY18a8A9IcSdp1K8H6x8fbOy06t2VsZHhMHf-1x7Y/edit?usp=sharing"",""แผน!EY88"")"),341)</f>
        <v>341</v>
      </c>
      <c r="J371" s="424">
        <f ca="1">IFERROR(__xludf.DUMMYFUNCTION("IMPORTRANGE(""https://docs.google.com/spreadsheets/d/1tdoBKaGub7dwA3U6UFTqxio9LNnvDCQjHKmttSEBsFQ/edit?usp=sharing"",""จัดที่ดิน!AF88"")"),583)</f>
        <v>583</v>
      </c>
      <c r="K371" s="425">
        <f ca="1">IF(I371&gt;0,J371*100/I371,0)</f>
        <v>170.96774193548387</v>
      </c>
      <c r="L371" s="527"/>
      <c r="M371" s="527"/>
      <c r="N371" s="527"/>
      <c r="O371" s="527"/>
      <c r="P371" s="527"/>
    </row>
    <row r="372" spans="1:16" ht="18.75" x14ac:dyDescent="0.25">
      <c r="A372" s="531"/>
      <c r="B372" s="420"/>
      <c r="C372" s="430"/>
      <c r="D372" s="420"/>
      <c r="E372" s="420"/>
      <c r="F372" s="420"/>
      <c r="G372" s="530"/>
      <c r="H372" s="529" t="s">
        <v>44</v>
      </c>
      <c r="I372" s="424">
        <v>0</v>
      </c>
      <c r="J372" s="528">
        <f ca="1">IFERROR(__xludf.DUMMYFUNCTION("IMPORTRANGE(""https://docs.google.com/spreadsheets/d/1tdoBKaGub7dwA3U6UFTqxio9LNnvDCQjHKmttSEBsFQ/edit?usp=sharing"",""จัดที่ดิน!AG88"")"),8471.45)</f>
        <v>8471.4500000000007</v>
      </c>
      <c r="K372" s="425">
        <f>IF(I372&gt;0,J372*100/I372,0)</f>
        <v>0</v>
      </c>
      <c r="L372" s="527"/>
      <c r="M372" s="527"/>
      <c r="N372" s="527"/>
      <c r="O372" s="527"/>
      <c r="P372" s="527"/>
    </row>
    <row r="373" spans="1:16" ht="16.5" x14ac:dyDescent="0.25">
      <c r="A373" s="526"/>
      <c r="B373" s="524"/>
      <c r="C373" s="526"/>
      <c r="D373" s="5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524"/>
      <c r="F373" s="524"/>
      <c r="G373" s="523"/>
      <c r="H373" s="523"/>
      <c r="I373" s="522"/>
      <c r="J373" s="522"/>
      <c r="K373" s="521"/>
      <c r="L373" s="521"/>
      <c r="M373" s="521"/>
      <c r="N373" s="521"/>
      <c r="O373" s="521"/>
      <c r="P373" s="521"/>
    </row>
    <row r="374" spans="1:16" ht="19.5" hidden="1" x14ac:dyDescent="0.3">
      <c r="A374" s="874" t="s">
        <v>146</v>
      </c>
      <c r="B374" s="873"/>
      <c r="C374" s="873"/>
      <c r="D374" s="873"/>
      <c r="E374" s="872"/>
      <c r="F374" s="872"/>
      <c r="G374" s="872"/>
      <c r="H374" s="872"/>
      <c r="I374" s="871"/>
      <c r="J374" s="871"/>
      <c r="K374" s="870"/>
      <c r="L374" s="870"/>
      <c r="M374" s="870"/>
      <c r="N374" s="870"/>
      <c r="O374" s="870"/>
      <c r="P374" s="869"/>
    </row>
    <row r="375" spans="1:16" ht="19.5" hidden="1" x14ac:dyDescent="0.3">
      <c r="A375" s="868" t="s">
        <v>147</v>
      </c>
      <c r="B375" s="866"/>
      <c r="C375" s="866"/>
      <c r="D375" s="867"/>
      <c r="E375" s="866"/>
      <c r="F375" s="866"/>
      <c r="G375" s="866"/>
      <c r="H375" s="865"/>
      <c r="I375" s="864"/>
      <c r="J375" s="864"/>
      <c r="K375" s="863"/>
      <c r="L375" s="863"/>
      <c r="M375" s="863"/>
      <c r="N375" s="863"/>
      <c r="O375" s="863"/>
      <c r="P375" s="863"/>
    </row>
    <row r="376" spans="1:16" ht="19.5" hidden="1" x14ac:dyDescent="0.3">
      <c r="A376" s="862"/>
      <c r="B376" s="861" t="s">
        <v>148</v>
      </c>
      <c r="C376" s="860"/>
      <c r="D376" s="859"/>
      <c r="E376" s="859"/>
      <c r="F376" s="859"/>
      <c r="G376" s="858"/>
      <c r="H376" s="857" t="s">
        <v>54</v>
      </c>
      <c r="I376" s="856">
        <f>I388</f>
        <v>0</v>
      </c>
      <c r="J376" s="856">
        <f>J388</f>
        <v>0</v>
      </c>
      <c r="K376" s="855">
        <f>IF(I376&gt;0,J376*100/I376,0)</f>
        <v>0</v>
      </c>
      <c r="L376" s="854"/>
      <c r="M376" s="854"/>
      <c r="N376" s="854"/>
      <c r="O376" s="854"/>
      <c r="P376" s="854"/>
    </row>
    <row r="377" spans="1:16" ht="19.5" hidden="1" x14ac:dyDescent="0.3">
      <c r="A377" s="543"/>
      <c r="B377" s="418"/>
      <c r="C377" s="636" t="s">
        <v>16</v>
      </c>
      <c r="D377" s="635" t="s">
        <v>17</v>
      </c>
      <c r="E377" s="418"/>
      <c r="F377" s="418"/>
      <c r="G377" s="422"/>
      <c r="H377" s="634" t="s">
        <v>12</v>
      </c>
      <c r="I377" s="427"/>
      <c r="J377" s="427"/>
      <c r="K377" s="428"/>
      <c r="L377" s="633">
        <f ca="1">L378+L379</f>
        <v>0</v>
      </c>
      <c r="M377" s="633">
        <f ca="1">M378+M379</f>
        <v>0</v>
      </c>
      <c r="N377" s="633">
        <f ca="1">N378+N379</f>
        <v>0</v>
      </c>
      <c r="O377" s="633">
        <f ca="1">IF(L377&gt;0,N377*100/L377,0)</f>
        <v>0</v>
      </c>
      <c r="P377" s="633">
        <f ca="1">IF(M377&gt;0,N377*100/M377,0)</f>
        <v>0</v>
      </c>
    </row>
    <row r="378" spans="1:16" ht="18.75" hidden="1" x14ac:dyDescent="0.25">
      <c r="A378" s="543"/>
      <c r="B378" s="418"/>
      <c r="C378" s="418"/>
      <c r="D378" s="418"/>
      <c r="E378" s="546" t="s">
        <v>18</v>
      </c>
      <c r="F378" s="418"/>
      <c r="G378" s="422"/>
      <c r="H378" s="549" t="s">
        <v>12</v>
      </c>
      <c r="I378" s="427"/>
      <c r="J378" s="427"/>
      <c r="K378" s="428"/>
      <c r="L378" s="544">
        <f>L381+L384</f>
        <v>0</v>
      </c>
      <c r="M378" s="544">
        <f>M381+M384</f>
        <v>0</v>
      </c>
      <c r="N378" s="544">
        <f>N381+N384</f>
        <v>0</v>
      </c>
      <c r="O378" s="544">
        <f>IF(L378&gt;0,N378*100/L378,0)</f>
        <v>0</v>
      </c>
      <c r="P378" s="544">
        <f>IF(M378&gt;0,N378*100/M378,0)</f>
        <v>0</v>
      </c>
    </row>
    <row r="379" spans="1:16" ht="18.75" hidden="1" x14ac:dyDescent="0.25">
      <c r="A379" s="543"/>
      <c r="B379" s="418"/>
      <c r="C379" s="418"/>
      <c r="D379" s="418"/>
      <c r="E379" s="546" t="s">
        <v>19</v>
      </c>
      <c r="F379" s="418"/>
      <c r="G379" s="422"/>
      <c r="H379" s="549" t="s">
        <v>12</v>
      </c>
      <c r="I379" s="427"/>
      <c r="J379" s="427"/>
      <c r="K379" s="428"/>
      <c r="L379" s="544">
        <f ca="1">L382+L385</f>
        <v>0</v>
      </c>
      <c r="M379" s="544">
        <f ca="1">M382+M385</f>
        <v>0</v>
      </c>
      <c r="N379" s="544">
        <f ca="1">N382+N385</f>
        <v>0</v>
      </c>
      <c r="O379" s="544">
        <f ca="1">IF(L379&gt;0,N379*100/L379,0)</f>
        <v>0</v>
      </c>
      <c r="P379" s="544">
        <f ca="1">IF(M379&gt;0,N379*100/M379,0)</f>
        <v>0</v>
      </c>
    </row>
    <row r="380" spans="1:16" ht="18.75" hidden="1" x14ac:dyDescent="0.25">
      <c r="A380" s="543"/>
      <c r="B380" s="418"/>
      <c r="C380" s="418"/>
      <c r="D380" s="632" t="s">
        <v>20</v>
      </c>
      <c r="E380" s="418"/>
      <c r="F380" s="418"/>
      <c r="G380" s="422"/>
      <c r="H380" s="545" t="s">
        <v>12</v>
      </c>
      <c r="I380" s="541"/>
      <c r="J380" s="541"/>
      <c r="K380" s="527"/>
      <c r="L380" s="544">
        <f ca="1">L381+L382</f>
        <v>0</v>
      </c>
      <c r="M380" s="544">
        <f ca="1">M381+M382</f>
        <v>0</v>
      </c>
      <c r="N380" s="544">
        <f ca="1">N381+N382</f>
        <v>0</v>
      </c>
      <c r="O380" s="544">
        <f ca="1">IF(L380&gt;0,N380*100/L380,0)</f>
        <v>0</v>
      </c>
      <c r="P380" s="544">
        <f ca="1">IF(M380&gt;0,N380*100/M380,0)</f>
        <v>0</v>
      </c>
    </row>
    <row r="381" spans="1:16" ht="18.75" hidden="1" x14ac:dyDescent="0.25">
      <c r="A381" s="543"/>
      <c r="B381" s="418"/>
      <c r="C381" s="418"/>
      <c r="D381" s="418"/>
      <c r="E381" s="546" t="s">
        <v>34</v>
      </c>
      <c r="F381" s="418"/>
      <c r="G381" s="422"/>
      <c r="H381" s="545" t="s">
        <v>12</v>
      </c>
      <c r="I381" s="541"/>
      <c r="J381" s="541"/>
      <c r="K381" s="527"/>
      <c r="L381" s="544">
        <v>0</v>
      </c>
      <c r="M381" s="544">
        <v>0</v>
      </c>
      <c r="N381" s="544">
        <v>0</v>
      </c>
      <c r="O381" s="544">
        <f>IF(L381&gt;0,N381*100/L381,0)</f>
        <v>0</v>
      </c>
      <c r="P381" s="544">
        <f>IF(M381&gt;0,N381*100/M381,0)</f>
        <v>0</v>
      </c>
    </row>
    <row r="382" spans="1:16" ht="18.75" hidden="1" x14ac:dyDescent="0.25">
      <c r="A382" s="543"/>
      <c r="B382" s="418"/>
      <c r="C382" s="418"/>
      <c r="D382" s="418"/>
      <c r="E382" s="546" t="s">
        <v>35</v>
      </c>
      <c r="F382" s="418"/>
      <c r="G382" s="422"/>
      <c r="H382" s="545" t="s">
        <v>12</v>
      </c>
      <c r="I382" s="541"/>
      <c r="J382" s="541"/>
      <c r="K382" s="527"/>
      <c r="L382" s="544">
        <f ca="1">IFERROR(__xludf.DUMMYFUNCTION("IMPORTRANGE(""https://docs.google.com/spreadsheets/d/1-uDff_7J0KD5mKrp0Vvzr7lt3OU09vwQwhkpOPPYv2Y/edit?usp=sharing"",""งบพรบ!FM88"")"),0)</f>
        <v>0</v>
      </c>
      <c r="M382" s="544">
        <f ca="1">IFERROR(__xludf.DUMMYFUNCTION("IMPORTRANGE(""https://docs.google.com/spreadsheets/d/1-uDff_7J0KD5mKrp0Vvzr7lt3OU09vwQwhkpOPPYv2Y/edit?usp=sharing"",""งบพรบ!FR88"")"),0)</f>
        <v>0</v>
      </c>
      <c r="N382" s="544">
        <f ca="1">IFERROR(__xludf.DUMMYFUNCTION("IMPORTRANGE(""https://docs.google.com/spreadsheets/d/1-uDff_7J0KD5mKrp0Vvzr7lt3OU09vwQwhkpOPPYv2Y/edit?usp=sharing"",""งบพรบ!FT88"")"),0)</f>
        <v>0</v>
      </c>
      <c r="O382" s="544">
        <f ca="1">IF(L382&gt;0,N382*100/L382,0)</f>
        <v>0</v>
      </c>
      <c r="P382" s="544">
        <f ca="1">IF(M382&gt;0,N382*100/M382,0)</f>
        <v>0</v>
      </c>
    </row>
    <row r="383" spans="1:16" ht="18.75" hidden="1" x14ac:dyDescent="0.25">
      <c r="A383" s="543"/>
      <c r="B383" s="418"/>
      <c r="C383" s="418"/>
      <c r="D383" s="632" t="s">
        <v>21</v>
      </c>
      <c r="E383" s="418"/>
      <c r="F383" s="418"/>
      <c r="G383" s="422"/>
      <c r="H383" s="631" t="s">
        <v>12</v>
      </c>
      <c r="I383" s="541"/>
      <c r="J383" s="541"/>
      <c r="K383" s="527"/>
      <c r="L383" s="544">
        <f ca="1">L384+L385</f>
        <v>0</v>
      </c>
      <c r="M383" s="544">
        <f ca="1">M384+M385</f>
        <v>0</v>
      </c>
      <c r="N383" s="544">
        <f ca="1">N384+N385</f>
        <v>0</v>
      </c>
      <c r="O383" s="544">
        <f ca="1">IF(L383&gt;0,N383*100/L383,0)</f>
        <v>0</v>
      </c>
      <c r="P383" s="544">
        <f ca="1">IF(M383&gt;0,N383*100/M383,0)</f>
        <v>0</v>
      </c>
    </row>
    <row r="384" spans="1:16" ht="18.75" hidden="1" x14ac:dyDescent="0.25">
      <c r="A384" s="543"/>
      <c r="B384" s="418"/>
      <c r="C384" s="418"/>
      <c r="D384" s="418"/>
      <c r="E384" s="546" t="s">
        <v>18</v>
      </c>
      <c r="F384" s="418"/>
      <c r="G384" s="422"/>
      <c r="H384" s="545" t="s">
        <v>12</v>
      </c>
      <c r="I384" s="541"/>
      <c r="J384" s="541"/>
      <c r="K384" s="527"/>
      <c r="L384" s="544">
        <v>0</v>
      </c>
      <c r="M384" s="544">
        <v>0</v>
      </c>
      <c r="N384" s="544">
        <v>0</v>
      </c>
      <c r="O384" s="544">
        <f>IF(L384&gt;0,N384*100/L384,0)</f>
        <v>0</v>
      </c>
      <c r="P384" s="544">
        <f>IF(M384&gt;0,N384*100/M384,0)</f>
        <v>0</v>
      </c>
    </row>
    <row r="385" spans="1:16" ht="18.75" hidden="1" x14ac:dyDescent="0.25">
      <c r="A385" s="543"/>
      <c r="B385" s="418"/>
      <c r="C385" s="418"/>
      <c r="D385" s="418"/>
      <c r="E385" s="546" t="s">
        <v>19</v>
      </c>
      <c r="F385" s="418"/>
      <c r="G385" s="422"/>
      <c r="H385" s="631" t="s">
        <v>12</v>
      </c>
      <c r="I385" s="541"/>
      <c r="J385" s="541"/>
      <c r="K385" s="527"/>
      <c r="L385" s="544">
        <f ca="1">IFERROR(__xludf.DUMMYFUNCTION("IMPORTRANGE(""https://docs.google.com/spreadsheets/d/1-uDff_7J0KD5mKrp0Vvzr7lt3OU09vwQwhkpOPPYv2Y/edit?usp=sharing"",""งบพรบ!FP88"")"),0)</f>
        <v>0</v>
      </c>
      <c r="M385" s="544">
        <f ca="1">IFERROR(__xludf.DUMMYFUNCTION("IMPORTRANGE(""https://docs.google.com/spreadsheets/d/1-uDff_7J0KD5mKrp0Vvzr7lt3OU09vwQwhkpOPPYv2Y/edit?usp=sharing"",""งบพรบ!FS88"")"),0)</f>
        <v>0</v>
      </c>
      <c r="N385" s="544">
        <f ca="1">IFERROR(__xludf.DUMMYFUNCTION("IMPORTRANGE(""https://docs.google.com/spreadsheets/d/1-uDff_7J0KD5mKrp0Vvzr7lt3OU09vwQwhkpOPPYv2Y/edit?usp=sharing"",""งบพรบ!FU88"")"),0)</f>
        <v>0</v>
      </c>
      <c r="O385" s="544">
        <f ca="1">IF(L385&gt;0,N385*100/L385,0)</f>
        <v>0</v>
      </c>
      <c r="P385" s="544">
        <f ca="1">IF(M385&gt;0,N385*100/M385,0)</f>
        <v>0</v>
      </c>
    </row>
    <row r="386" spans="1:16" ht="19.5" hidden="1" x14ac:dyDescent="0.3">
      <c r="A386" s="531"/>
      <c r="B386" s="430"/>
      <c r="C386" s="636" t="s">
        <v>16</v>
      </c>
      <c r="D386" s="630" t="s">
        <v>36</v>
      </c>
      <c r="E386" s="535"/>
      <c r="F386" s="535"/>
      <c r="G386" s="534"/>
      <c r="H386" s="530"/>
      <c r="I386" s="541"/>
      <c r="J386" s="427"/>
      <c r="K386" s="428"/>
      <c r="L386" s="428"/>
      <c r="M386" s="428"/>
      <c r="N386" s="428"/>
      <c r="O386" s="527"/>
      <c r="P386" s="527"/>
    </row>
    <row r="387" spans="1:16" ht="18.75" hidden="1" x14ac:dyDescent="0.25">
      <c r="A387" s="417"/>
      <c r="B387" s="418"/>
      <c r="C387" s="419"/>
      <c r="D387" s="654" t="s">
        <v>149</v>
      </c>
      <c r="E387" s="430"/>
      <c r="F387" s="418"/>
      <c r="G387" s="422"/>
      <c r="H387" s="692" t="s">
        <v>9</v>
      </c>
      <c r="I387" s="199">
        <v>0</v>
      </c>
      <c r="J387" s="650">
        <v>0</v>
      </c>
      <c r="K387" s="544">
        <f>IF(I387&gt;0,J387*100/I387,0)</f>
        <v>0</v>
      </c>
      <c r="L387" s="428"/>
      <c r="M387" s="428"/>
      <c r="N387" s="428"/>
      <c r="O387" s="428"/>
      <c r="P387" s="428"/>
    </row>
    <row r="388" spans="1:16" ht="18.75" hidden="1" x14ac:dyDescent="0.25">
      <c r="A388" s="853"/>
      <c r="B388" s="524"/>
      <c r="C388" s="526"/>
      <c r="D388" s="852" t="s">
        <v>150</v>
      </c>
      <c r="E388" s="628"/>
      <c r="F388" s="524"/>
      <c r="G388" s="523"/>
      <c r="H388" s="851" t="s">
        <v>54</v>
      </c>
      <c r="I388" s="623">
        <v>0</v>
      </c>
      <c r="J388" s="704">
        <v>0</v>
      </c>
      <c r="K388" s="703">
        <f>IF(I388&gt;0,J388*100/I388,0)</f>
        <v>0</v>
      </c>
      <c r="L388" s="521"/>
      <c r="M388" s="521"/>
      <c r="N388" s="521"/>
      <c r="O388" s="521"/>
      <c r="P388" s="521"/>
    </row>
    <row r="389" spans="1:16" ht="12.75" x14ac:dyDescent="0.2">
      <c r="A389" s="508"/>
      <c r="B389" s="508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</row>
    <row r="390" spans="1:16" ht="16.5" x14ac:dyDescent="0.25">
      <c r="A390" s="509" t="s">
        <v>151</v>
      </c>
      <c r="B390" s="508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</row>
    <row r="391" spans="1:16" ht="16.5" x14ac:dyDescent="0.25">
      <c r="A391" s="50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508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2024-01-05T05:44:51Z</dcterms:modified>
</cp:coreProperties>
</file>